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Анг20 1" sheetId="10" r:id="rId1"/>
    <sheet name="Цимл 1" sheetId="11" r:id="rId2"/>
    <sheet name="Цимл 3" sheetId="12" r:id="rId3"/>
    <sheet name="40л 39 1)" sheetId="4" r:id="rId4"/>
    <sheet name="40л 35" sheetId="5" r:id="rId5"/>
    <sheet name="40л 35 2" sheetId="6" r:id="rId6"/>
    <sheet name="40л 37" sheetId="7" r:id="rId7"/>
    <sheet name="40л 39" sheetId="8" r:id="rId8"/>
    <sheet name="40л 41 1" sheetId="9" r:id="rId9"/>
  </sheets>
  <calcPr calcId="124519"/>
</workbook>
</file>

<file path=xl/calcChain.xml><?xml version="1.0" encoding="utf-8"?>
<calcChain xmlns="http://schemas.openxmlformats.org/spreadsheetml/2006/main">
  <c r="G29" i="9"/>
  <c r="G27" s="1"/>
  <c r="G33"/>
  <c r="G32"/>
  <c r="C31"/>
  <c r="G31"/>
  <c r="G34"/>
  <c r="G30"/>
  <c r="G20"/>
  <c r="G19"/>
  <c r="G18"/>
  <c r="G26" i="8"/>
  <c r="G30"/>
  <c r="G33"/>
  <c r="G32"/>
  <c r="G31"/>
  <c r="C31"/>
  <c r="G26" i="7"/>
  <c r="G33"/>
  <c r="G32"/>
  <c r="G31"/>
  <c r="C31"/>
  <c r="G34"/>
  <c r="G30"/>
  <c r="G20"/>
  <c r="G19"/>
  <c r="G18"/>
  <c r="G33" i="6"/>
  <c r="G31" s="1"/>
  <c r="G32"/>
  <c r="G34"/>
  <c r="C31"/>
  <c r="G30"/>
  <c r="G20"/>
  <c r="G19"/>
  <c r="G18"/>
  <c r="G17" s="1"/>
  <c r="G33" i="5"/>
  <c r="G32"/>
  <c r="G26"/>
  <c r="G31"/>
  <c r="C31"/>
  <c r="G34"/>
  <c r="G30"/>
  <c r="G20"/>
  <c r="G18"/>
  <c r="G17" s="1"/>
  <c r="G19"/>
  <c r="G33" i="4"/>
  <c r="G32"/>
  <c r="G31" s="1"/>
  <c r="C31"/>
  <c r="G34"/>
  <c r="G30"/>
  <c r="G19"/>
  <c r="G18"/>
  <c r="G33" i="12"/>
  <c r="G32"/>
  <c r="G30"/>
  <c r="C31"/>
  <c r="G34"/>
  <c r="G20"/>
  <c r="G19"/>
  <c r="G18"/>
  <c r="G26" i="11"/>
  <c r="G31"/>
  <c r="G33"/>
  <c r="G32"/>
  <c r="C31"/>
  <c r="G34"/>
  <c r="G30"/>
  <c r="G20"/>
  <c r="G19"/>
  <c r="G18"/>
  <c r="G29" i="10"/>
  <c r="G32"/>
  <c r="G25"/>
  <c r="G31"/>
  <c r="G33"/>
  <c r="G19"/>
  <c r="C31"/>
  <c r="G30"/>
  <c r="G18"/>
  <c r="G34"/>
  <c r="G20"/>
  <c r="G34" i="8"/>
  <c r="G18"/>
  <c r="G19"/>
  <c r="G20"/>
  <c r="C17" i="12"/>
  <c r="C35" s="1"/>
  <c r="C39" s="1"/>
  <c r="D18" s="1"/>
  <c r="C24"/>
  <c r="G24"/>
  <c r="C27"/>
  <c r="G27"/>
  <c r="C43"/>
  <c r="C44" s="1"/>
  <c r="C17" i="11"/>
  <c r="C24"/>
  <c r="G24"/>
  <c r="C27"/>
  <c r="G27"/>
  <c r="F40"/>
  <c r="C43"/>
  <c r="C44" s="1"/>
  <c r="C17" i="10"/>
  <c r="G17"/>
  <c r="C24"/>
  <c r="C35" s="1"/>
  <c r="C39" s="1"/>
  <c r="G24"/>
  <c r="C27"/>
  <c r="G27"/>
  <c r="C43"/>
  <c r="C44" s="1"/>
  <c r="C17" i="9"/>
  <c r="G17"/>
  <c r="C24"/>
  <c r="G24"/>
  <c r="C27"/>
  <c r="F40"/>
  <c r="C43"/>
  <c r="C44" s="1"/>
  <c r="C17" i="8"/>
  <c r="C24"/>
  <c r="G24"/>
  <c r="C27"/>
  <c r="G27"/>
  <c r="F40"/>
  <c r="C43"/>
  <c r="C44" s="1"/>
  <c r="C17" i="7"/>
  <c r="G17"/>
  <c r="C24"/>
  <c r="G24"/>
  <c r="C27"/>
  <c r="G27"/>
  <c r="C35"/>
  <c r="C39" s="1"/>
  <c r="F40"/>
  <c r="C43"/>
  <c r="C44" s="1"/>
  <c r="C17" i="6"/>
  <c r="C24"/>
  <c r="G24"/>
  <c r="C27"/>
  <c r="G27"/>
  <c r="C35"/>
  <c r="C39" s="1"/>
  <c r="D18" s="1"/>
  <c r="F40"/>
  <c r="C43"/>
  <c r="C44" s="1"/>
  <c r="C17" i="5"/>
  <c r="C24"/>
  <c r="G24"/>
  <c r="C27"/>
  <c r="C35"/>
  <c r="C39" s="1"/>
  <c r="D26" s="1"/>
  <c r="F40"/>
  <c r="C43"/>
  <c r="C44" s="1"/>
  <c r="C17" i="4"/>
  <c r="G20"/>
  <c r="G17" s="1"/>
  <c r="C24"/>
  <c r="G24"/>
  <c r="C27"/>
  <c r="G27"/>
  <c r="F40"/>
  <c r="C43"/>
  <c r="C44" s="1"/>
  <c r="G35" i="9" l="1"/>
  <c r="G39" s="1"/>
  <c r="C35"/>
  <c r="C39" s="1"/>
  <c r="F18" s="1"/>
  <c r="G35" i="5"/>
  <c r="C35" i="4"/>
  <c r="C39" s="1"/>
  <c r="G31" i="12"/>
  <c r="G17"/>
  <c r="G35" s="1"/>
  <c r="G39" s="1"/>
  <c r="C35" i="11"/>
  <c r="C39" s="1"/>
  <c r="D26" s="1"/>
  <c r="G17"/>
  <c r="G35" s="1"/>
  <c r="G39" s="1"/>
  <c r="G41" s="1"/>
  <c r="C35" i="8"/>
  <c r="C39" s="1"/>
  <c r="G17"/>
  <c r="D18" i="10"/>
  <c r="F18"/>
  <c r="D19"/>
  <c r="F19"/>
  <c r="D20"/>
  <c r="F20"/>
  <c r="D21"/>
  <c r="F21"/>
  <c r="D25"/>
  <c r="F25"/>
  <c r="D29"/>
  <c r="F29"/>
  <c r="D32"/>
  <c r="F32"/>
  <c r="D33"/>
  <c r="F33"/>
  <c r="D34"/>
  <c r="F34"/>
  <c r="D26"/>
  <c r="F26"/>
  <c r="D28"/>
  <c r="F28"/>
  <c r="F27" s="1"/>
  <c r="D30"/>
  <c r="F30"/>
  <c r="G35"/>
  <c r="G39" s="1"/>
  <c r="F34" i="11"/>
  <c r="D34"/>
  <c r="F33"/>
  <c r="D33"/>
  <c r="F32"/>
  <c r="F31" s="1"/>
  <c r="D32"/>
  <c r="F29"/>
  <c r="D29"/>
  <c r="F25"/>
  <c r="D25"/>
  <c r="F21"/>
  <c r="D21"/>
  <c r="F20"/>
  <c r="D20"/>
  <c r="F19"/>
  <c r="D19"/>
  <c r="F18"/>
  <c r="F17" s="1"/>
  <c r="D18"/>
  <c r="F30" i="12"/>
  <c r="D30"/>
  <c r="F28"/>
  <c r="D28"/>
  <c r="F26"/>
  <c r="D26"/>
  <c r="F30" i="11"/>
  <c r="D30"/>
  <c r="F28"/>
  <c r="F27" s="1"/>
  <c r="D28"/>
  <c r="F26"/>
  <c r="F34" i="12"/>
  <c r="D34"/>
  <c r="F33"/>
  <c r="D33"/>
  <c r="F32"/>
  <c r="F31" s="1"/>
  <c r="D32"/>
  <c r="F29"/>
  <c r="D29"/>
  <c r="F25"/>
  <c r="D25"/>
  <c r="F21"/>
  <c r="D21"/>
  <c r="F20"/>
  <c r="D20"/>
  <c r="F19"/>
  <c r="D19"/>
  <c r="F18"/>
  <c r="F17" s="1"/>
  <c r="D18" i="9"/>
  <c r="D20"/>
  <c r="D25"/>
  <c r="D32"/>
  <c r="D34"/>
  <c r="D28"/>
  <c r="D26" i="7"/>
  <c r="F26"/>
  <c r="D28"/>
  <c r="F28"/>
  <c r="D30"/>
  <c r="F30"/>
  <c r="D18"/>
  <c r="F18"/>
  <c r="D19"/>
  <c r="F19"/>
  <c r="D20"/>
  <c r="F20"/>
  <c r="D21"/>
  <c r="F21"/>
  <c r="D25"/>
  <c r="F25"/>
  <c r="F24" s="1"/>
  <c r="D29"/>
  <c r="F29"/>
  <c r="D32"/>
  <c r="F32"/>
  <c r="D33"/>
  <c r="F33"/>
  <c r="D34"/>
  <c r="F34"/>
  <c r="G39" i="5"/>
  <c r="G35" i="6"/>
  <c r="G39" s="1"/>
  <c r="G35" i="7"/>
  <c r="G39" s="1"/>
  <c r="F34" i="5"/>
  <c r="D34"/>
  <c r="F33"/>
  <c r="D33"/>
  <c r="F32"/>
  <c r="F31" s="1"/>
  <c r="D32"/>
  <c r="F29"/>
  <c r="D29"/>
  <c r="F25"/>
  <c r="D25"/>
  <c r="F21"/>
  <c r="D21"/>
  <c r="F20"/>
  <c r="D20"/>
  <c r="F19"/>
  <c r="D19"/>
  <c r="F18"/>
  <c r="F17" s="1"/>
  <c r="D18"/>
  <c r="F30" i="6"/>
  <c r="D30"/>
  <c r="F28"/>
  <c r="D28"/>
  <c r="F26"/>
  <c r="D26"/>
  <c r="F30" i="8"/>
  <c r="D30"/>
  <c r="F28"/>
  <c r="D28"/>
  <c r="F26"/>
  <c r="D26"/>
  <c r="F30" i="5"/>
  <c r="D30"/>
  <c r="F28"/>
  <c r="F27" s="1"/>
  <c r="D28"/>
  <c r="F26"/>
  <c r="F34" i="6"/>
  <c r="D34"/>
  <c r="F33"/>
  <c r="D33"/>
  <c r="F32"/>
  <c r="D32"/>
  <c r="F29"/>
  <c r="D29"/>
  <c r="F25"/>
  <c r="D25"/>
  <c r="F21"/>
  <c r="D21"/>
  <c r="F20"/>
  <c r="D20"/>
  <c r="F19"/>
  <c r="D19"/>
  <c r="D17" s="1"/>
  <c r="F18"/>
  <c r="F17" s="1"/>
  <c r="F34" i="8"/>
  <c r="D34"/>
  <c r="F33"/>
  <c r="D33"/>
  <c r="F32"/>
  <c r="F31" s="1"/>
  <c r="D32"/>
  <c r="F29"/>
  <c r="D29"/>
  <c r="F25"/>
  <c r="F24" s="1"/>
  <c r="D25"/>
  <c r="F21"/>
  <c r="D21"/>
  <c r="F19"/>
  <c r="D19"/>
  <c r="F18"/>
  <c r="D18" i="4"/>
  <c r="F18"/>
  <c r="D19"/>
  <c r="F19"/>
  <c r="D20"/>
  <c r="F20"/>
  <c r="D21"/>
  <c r="F21"/>
  <c r="D25"/>
  <c r="F25"/>
  <c r="D29"/>
  <c r="F29"/>
  <c r="D32"/>
  <c r="F32"/>
  <c r="D33"/>
  <c r="F33"/>
  <c r="D34"/>
  <c r="F34"/>
  <c r="D26"/>
  <c r="F26"/>
  <c r="D28"/>
  <c r="F28"/>
  <c r="F27" s="1"/>
  <c r="D30"/>
  <c r="F30"/>
  <c r="G35"/>
  <c r="G39" s="1"/>
  <c r="G41" s="1"/>
  <c r="D30" i="9" l="1"/>
  <c r="D26"/>
  <c r="D33"/>
  <c r="D29"/>
  <c r="D21"/>
  <c r="D19"/>
  <c r="D17" s="1"/>
  <c r="F30"/>
  <c r="F28"/>
  <c r="F27" s="1"/>
  <c r="F26"/>
  <c r="F34"/>
  <c r="F33"/>
  <c r="F32"/>
  <c r="F29"/>
  <c r="F25"/>
  <c r="F24" s="1"/>
  <c r="F21"/>
  <c r="F20"/>
  <c r="F17" s="1"/>
  <c r="F19"/>
  <c r="F31" i="6"/>
  <c r="D18" i="8"/>
  <c r="D17" s="1"/>
  <c r="D20"/>
  <c r="F20"/>
  <c r="F17" s="1"/>
  <c r="G35"/>
  <c r="G39" s="1"/>
  <c r="G41" s="1"/>
  <c r="F24" i="6"/>
  <c r="F24" i="12"/>
  <c r="D27"/>
  <c r="D17" i="11"/>
  <c r="D24"/>
  <c r="D31"/>
  <c r="D24" i="12"/>
  <c r="D31"/>
  <c r="D27" i="10"/>
  <c r="D31"/>
  <c r="D24"/>
  <c r="D17"/>
  <c r="F31"/>
  <c r="F24"/>
  <c r="F17"/>
  <c r="F27" i="12"/>
  <c r="F35" s="1"/>
  <c r="F24" i="11"/>
  <c r="F35" s="1"/>
  <c r="D17" i="12"/>
  <c r="D27" i="11"/>
  <c r="D27" i="9"/>
  <c r="D31"/>
  <c r="D24"/>
  <c r="F31"/>
  <c r="D24" i="8"/>
  <c r="D31"/>
  <c r="D27" i="5"/>
  <c r="D27" i="8"/>
  <c r="D31" i="5"/>
  <c r="D24" i="6"/>
  <c r="D31"/>
  <c r="D31" i="7"/>
  <c r="D24"/>
  <c r="D17"/>
  <c r="D27"/>
  <c r="F27" i="8"/>
  <c r="F27" i="6"/>
  <c r="F24" i="5"/>
  <c r="F35" s="1"/>
  <c r="D27" i="6"/>
  <c r="D35" s="1"/>
  <c r="D17" i="5"/>
  <c r="D24"/>
  <c r="F31" i="7"/>
  <c r="F17"/>
  <c r="F27"/>
  <c r="D27" i="4"/>
  <c r="D31"/>
  <c r="D24"/>
  <c r="D17"/>
  <c r="F31"/>
  <c r="F24"/>
  <c r="F17"/>
  <c r="F35" i="6" l="1"/>
  <c r="E30"/>
  <c r="E29"/>
  <c r="E28"/>
  <c r="E27" s="1"/>
  <c r="E25"/>
  <c r="E32"/>
  <c r="E20"/>
  <c r="E34"/>
  <c r="F35" i="8"/>
  <c r="D35" i="11"/>
  <c r="D35" i="12"/>
  <c r="F35" i="10"/>
  <c r="D35"/>
  <c r="F35" i="9"/>
  <c r="D35"/>
  <c r="E35" i="6"/>
  <c r="E36"/>
  <c r="E18"/>
  <c r="D35" i="7"/>
  <c r="F35"/>
  <c r="D35" i="5"/>
  <c r="D35" i="8"/>
  <c r="E20" s="1"/>
  <c r="E33" i="6"/>
  <c r="E21"/>
  <c r="E19"/>
  <c r="E26"/>
  <c r="E24" s="1"/>
  <c r="F35" i="4"/>
  <c r="D35"/>
  <c r="E31" i="6" l="1"/>
  <c r="E36" i="11"/>
  <c r="E35"/>
  <c r="E26"/>
  <c r="E18"/>
  <c r="E25"/>
  <c r="E24" s="1"/>
  <c r="E32"/>
  <c r="E19"/>
  <c r="E21"/>
  <c r="E33"/>
  <c r="E28"/>
  <c r="E27" s="1"/>
  <c r="E30"/>
  <c r="E20"/>
  <c r="E29"/>
  <c r="E34"/>
  <c r="E35" i="10"/>
  <c r="E36"/>
  <c r="E28"/>
  <c r="E30"/>
  <c r="E34"/>
  <c r="E29"/>
  <c r="E20"/>
  <c r="E32"/>
  <c r="E25"/>
  <c r="E18"/>
  <c r="E26"/>
  <c r="E33"/>
  <c r="E21"/>
  <c r="E19"/>
  <c r="E35" i="12"/>
  <c r="E36"/>
  <c r="E18"/>
  <c r="E28"/>
  <c r="E27" s="1"/>
  <c r="E26"/>
  <c r="E20"/>
  <c r="E29"/>
  <c r="E34"/>
  <c r="E25"/>
  <c r="E24" s="1"/>
  <c r="E32"/>
  <c r="E30"/>
  <c r="E19"/>
  <c r="E21"/>
  <c r="E33"/>
  <c r="F40"/>
  <c r="E35" i="9"/>
  <c r="E36"/>
  <c r="E28"/>
  <c r="E26"/>
  <c r="E33"/>
  <c r="E21"/>
  <c r="E19"/>
  <c r="E32"/>
  <c r="E25"/>
  <c r="E18"/>
  <c r="E30"/>
  <c r="E34"/>
  <c r="E29"/>
  <c r="E20"/>
  <c r="E35" i="8"/>
  <c r="E36"/>
  <c r="E18"/>
  <c r="E25"/>
  <c r="E32"/>
  <c r="E21"/>
  <c r="E28"/>
  <c r="E19"/>
  <c r="E29"/>
  <c r="E34"/>
  <c r="E30"/>
  <c r="E26"/>
  <c r="E33"/>
  <c r="E36" i="7"/>
  <c r="E35"/>
  <c r="E20"/>
  <c r="E32"/>
  <c r="E25"/>
  <c r="E18"/>
  <c r="E33"/>
  <c r="E21"/>
  <c r="E19"/>
  <c r="E26"/>
  <c r="E28"/>
  <c r="E34"/>
  <c r="E29"/>
  <c r="E30"/>
  <c r="E36" i="5"/>
  <c r="E35"/>
  <c r="E26"/>
  <c r="E28"/>
  <c r="E27" s="1"/>
  <c r="E32"/>
  <c r="E19"/>
  <c r="E29"/>
  <c r="E34"/>
  <c r="E33"/>
  <c r="E21"/>
  <c r="E18"/>
  <c r="E25"/>
  <c r="E24" s="1"/>
  <c r="E30"/>
  <c r="E20"/>
  <c r="E37" i="6"/>
  <c r="E39" s="1"/>
  <c r="E17"/>
  <c r="E35" i="4"/>
  <c r="E36"/>
  <c r="E28"/>
  <c r="E26"/>
  <c r="E33"/>
  <c r="E21"/>
  <c r="E19"/>
  <c r="E32"/>
  <c r="E25"/>
  <c r="E18"/>
  <c r="E30"/>
  <c r="E34"/>
  <c r="E29"/>
  <c r="E20"/>
  <c r="E24" i="8" l="1"/>
  <c r="E27" i="7"/>
  <c r="E24"/>
  <c r="E37" i="11"/>
  <c r="E39" s="1"/>
  <c r="E37" i="12"/>
  <c r="E39"/>
  <c r="E37" i="10"/>
  <c r="E39" s="1"/>
  <c r="E31" i="12"/>
  <c r="E17" i="10"/>
  <c r="E31"/>
  <c r="E31" i="11"/>
  <c r="E17"/>
  <c r="E17" i="12"/>
  <c r="E24" i="10"/>
  <c r="E27"/>
  <c r="E37" i="9"/>
  <c r="E39" s="1"/>
  <c r="E17"/>
  <c r="E31"/>
  <c r="E24"/>
  <c r="E27"/>
  <c r="E37" i="5"/>
  <c r="E39"/>
  <c r="E37" i="7"/>
  <c r="E39" s="1"/>
  <c r="E37" i="8"/>
  <c r="E39" s="1"/>
  <c r="E17" i="5"/>
  <c r="E31"/>
  <c r="E17" i="7"/>
  <c r="E31"/>
  <c r="E27" i="8"/>
  <c r="E31"/>
  <c r="E17"/>
  <c r="E37" i="4"/>
  <c r="E39"/>
  <c r="E17"/>
  <c r="E31"/>
  <c r="E24"/>
  <c r="E27"/>
</calcChain>
</file>

<file path=xl/sharedStrings.xml><?xml version="1.0" encoding="utf-8"?>
<sst xmlns="http://schemas.openxmlformats.org/spreadsheetml/2006/main" count="406" uniqueCount="70">
  <si>
    <t>Управляющая  компания  ООО "ЖЭК"</t>
  </si>
  <si>
    <t>руб</t>
  </si>
  <si>
    <t>ИТОГО:</t>
  </si>
  <si>
    <t>Текущий  ремонт  подъездов - 2013г</t>
  </si>
  <si>
    <t>Уровень оплаты</t>
  </si>
  <si>
    <t>Всего</t>
  </si>
  <si>
    <t xml:space="preserve"> Итого прямые расходы</t>
  </si>
  <si>
    <t>Услуги РКЦ (квитанция, услуги банка)</t>
  </si>
  <si>
    <t>6.</t>
  </si>
  <si>
    <t>- содержание аппарата управления, амортизация,налоги</t>
  </si>
  <si>
    <t>Общеэксплуатационные расходы, в т.ч.</t>
  </si>
  <si>
    <t>5.</t>
  </si>
  <si>
    <t>Услуги аварийно-диспетчерской службы</t>
  </si>
  <si>
    <t>4.</t>
  </si>
  <si>
    <t>конструктиные элементы здания</t>
  </si>
  <si>
    <t>внутридомовое инжинерное оборудование</t>
  </si>
  <si>
    <t>Проведение технических осмотров,ремонт</t>
  </si>
  <si>
    <t>3.</t>
  </si>
  <si>
    <t>- конструктивные элементы зданий</t>
  </si>
  <si>
    <t>- внутридомовое инженерное оборудование</t>
  </si>
  <si>
    <t>к сезонной эксплуатации, всего:</t>
  </si>
  <si>
    <t xml:space="preserve">Подготовка многоквартирного дома </t>
  </si>
  <si>
    <t>2.</t>
  </si>
  <si>
    <t>- дезинсекция</t>
  </si>
  <si>
    <t xml:space="preserve">- электроэнергия </t>
  </si>
  <si>
    <t>-уборка лестничных клеток</t>
  </si>
  <si>
    <t>- уборка территории</t>
  </si>
  <si>
    <t>общего пользования, в т.ч.</t>
  </si>
  <si>
    <t>придомовых территорий и мест</t>
  </si>
  <si>
    <t>Содержание и благоустройство</t>
  </si>
  <si>
    <t>1.</t>
  </si>
  <si>
    <t>оплачено</t>
  </si>
  <si>
    <t>начислено</t>
  </si>
  <si>
    <t>на 1 кв.м</t>
  </si>
  <si>
    <t>Сумма расходов факт всего, руб.</t>
  </si>
  <si>
    <t>Сумма доходов всего, руб.</t>
  </si>
  <si>
    <t>Наименование статьи</t>
  </si>
  <si>
    <t>№ п/п</t>
  </si>
  <si>
    <t>по многоквартирному дому по адресу: ул.  40 лет Октября дом 39/1</t>
  </si>
  <si>
    <t xml:space="preserve"> Учет доходов и расходов по оплате за управление, содержание и текуший ремонт </t>
  </si>
  <si>
    <t>по многоквартирному дому по адресу: ул.  40 лет Октября дом 35</t>
  </si>
  <si>
    <t>по многоквартирному дому по адресу: ул.  40 лет Октября дом 35/2</t>
  </si>
  <si>
    <t>по многоквартирному дому по адресу: ул.  40 лет Октября дом 37</t>
  </si>
  <si>
    <t>Резерв  на текущий  ремонт подъездов -</t>
  </si>
  <si>
    <t>по многоквартирному дому по адресу: ул.  40 лет Октября дом 39</t>
  </si>
  <si>
    <t>по многоквартирному дому по адресу: ул.  40 лет Октября дом 41/1</t>
  </si>
  <si>
    <t>Управляющая компания  ООО " ЖЭК"</t>
  </si>
  <si>
    <t>по многоквартирному дому : ул.  Ангарская дом  № 20/1</t>
  </si>
  <si>
    <t>по многоквартирному дому : ул. Цимлянская  дом № 1</t>
  </si>
  <si>
    <t xml:space="preserve">    Учет   доходов и   расходов по оплате за управление, содержание и текуший ремонт </t>
  </si>
  <si>
    <t>по многоквартирному дому:    ул. Цимлянская  дом № 3</t>
  </si>
  <si>
    <t xml:space="preserve"> Учет  доходов и расходов по оплате за управление, содержание и текуший ремонт </t>
  </si>
  <si>
    <t>за  2014 год</t>
  </si>
  <si>
    <t>Задолженность на 01.01.2014г -</t>
  </si>
  <si>
    <t xml:space="preserve">Задолженность за 2014г </t>
  </si>
  <si>
    <t>-расходы на  организацию работ</t>
  </si>
  <si>
    <t>-  административно-хозяйственные расходы</t>
  </si>
  <si>
    <t>-  административн- хозяйственные расходы</t>
  </si>
  <si>
    <t>- расходы  на организаию работ по МКД</t>
  </si>
  <si>
    <t>-  административно- хозяственые расходы</t>
  </si>
  <si>
    <t>- расходы на  организацию работ по  МКД</t>
  </si>
  <si>
    <t>- расходы на организациюработ по  МКД</t>
  </si>
  <si>
    <t>-  административно-хозяйствене расходы</t>
  </si>
  <si>
    <t>- расходы на  организацию работ  по МКД</t>
  </si>
  <si>
    <t>-  расходы  на организацию работ  по МКД</t>
  </si>
  <si>
    <t>-  административн-хозяйственные расходы</t>
  </si>
  <si>
    <t>- расходы на  организацию работ по МКД</t>
  </si>
  <si>
    <t>-  административно-хозяственные расходы</t>
  </si>
  <si>
    <t>- расходы на  выполнение работ по МКД</t>
  </si>
  <si>
    <t>- расходы на организацию работ по  МКД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</si>
</sst>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1" applyFont="1"/>
    <xf numFmtId="4" fontId="2" fillId="0" borderId="0" xfId="1" applyNumberFormat="1" applyFont="1"/>
    <xf numFmtId="4" fontId="3" fillId="0" borderId="0" xfId="1" applyNumberFormat="1" applyFont="1"/>
    <xf numFmtId="0" fontId="3" fillId="0" borderId="0" xfId="1" applyFont="1"/>
    <xf numFmtId="0" fontId="4" fillId="0" borderId="0" xfId="1" applyFont="1"/>
    <xf numFmtId="10" fontId="2" fillId="0" borderId="0" xfId="1" applyNumberFormat="1" applyFont="1"/>
    <xf numFmtId="4" fontId="5" fillId="2" borderId="1" xfId="1" applyNumberFormat="1" applyFont="1" applyFill="1" applyBorder="1"/>
    <xf numFmtId="4" fontId="5" fillId="2" borderId="2" xfId="1" applyNumberFormat="1" applyFont="1" applyFill="1" applyBorder="1"/>
    <xf numFmtId="4" fontId="5" fillId="2" borderId="3" xfId="1" applyNumberFormat="1" applyFont="1" applyFill="1" applyBorder="1"/>
    <xf numFmtId="4" fontId="5" fillId="2" borderId="4" xfId="1" applyNumberFormat="1" applyFont="1" applyFill="1" applyBorder="1"/>
    <xf numFmtId="49" fontId="5" fillId="2" borderId="2" xfId="1" applyNumberFormat="1" applyFont="1" applyFill="1" applyBorder="1"/>
    <xf numFmtId="0" fontId="5" fillId="2" borderId="5" xfId="1" applyFont="1" applyFill="1" applyBorder="1"/>
    <xf numFmtId="4" fontId="5" fillId="3" borderId="6" xfId="1" applyNumberFormat="1" applyFont="1" applyFill="1" applyBorder="1"/>
    <xf numFmtId="4" fontId="5" fillId="3" borderId="7" xfId="1" applyNumberFormat="1" applyFont="1" applyFill="1" applyBorder="1"/>
    <xf numFmtId="4" fontId="5" fillId="3" borderId="8" xfId="1" applyNumberFormat="1" applyFont="1" applyFill="1" applyBorder="1"/>
    <xf numFmtId="4" fontId="5" fillId="3" borderId="4" xfId="1" applyNumberFormat="1" applyFont="1" applyFill="1" applyBorder="1"/>
    <xf numFmtId="49" fontId="5" fillId="3" borderId="7" xfId="1" applyNumberFormat="1" applyFont="1" applyFill="1" applyBorder="1"/>
    <xf numFmtId="0" fontId="5" fillId="3" borderId="4" xfId="1" applyFont="1" applyFill="1" applyBorder="1"/>
    <xf numFmtId="4" fontId="5" fillId="2" borderId="6" xfId="1" applyNumberFormat="1" applyFont="1" applyFill="1" applyBorder="1"/>
    <xf numFmtId="4" fontId="5" fillId="2" borderId="7" xfId="1" applyNumberFormat="1" applyFont="1" applyFill="1" applyBorder="1"/>
    <xf numFmtId="4" fontId="5" fillId="2" borderId="8" xfId="1" applyNumberFormat="1" applyFont="1" applyFill="1" applyBorder="1"/>
    <xf numFmtId="49" fontId="5" fillId="2" borderId="7" xfId="1" applyNumberFormat="1" applyFont="1" applyFill="1" applyBorder="1"/>
    <xf numFmtId="0" fontId="5" fillId="2" borderId="4" xfId="1" applyFont="1" applyFill="1" applyBorder="1"/>
    <xf numFmtId="4" fontId="2" fillId="2" borderId="9" xfId="1" applyNumberFormat="1" applyFont="1" applyFill="1" applyBorder="1"/>
    <xf numFmtId="4" fontId="3" fillId="2" borderId="9" xfId="1" applyNumberFormat="1" applyFont="1" applyFill="1" applyBorder="1"/>
    <xf numFmtId="4" fontId="2" fillId="3" borderId="10" xfId="1" applyNumberFormat="1" applyFont="1" applyFill="1" applyBorder="1"/>
    <xf numFmtId="4" fontId="2" fillId="3" borderId="9" xfId="1" applyNumberFormat="1" applyFont="1" applyFill="1" applyBorder="1"/>
    <xf numFmtId="4" fontId="2" fillId="3" borderId="4" xfId="1" applyNumberFormat="1" applyFont="1" applyFill="1" applyBorder="1"/>
    <xf numFmtId="49" fontId="2" fillId="3" borderId="7" xfId="1" applyNumberFormat="1" applyFont="1" applyFill="1" applyBorder="1"/>
    <xf numFmtId="0" fontId="2" fillId="3" borderId="4" xfId="1" applyFont="1" applyFill="1" applyBorder="1"/>
    <xf numFmtId="4" fontId="6" fillId="3" borderId="6" xfId="1" applyNumberFormat="1" applyFont="1" applyFill="1" applyBorder="1"/>
    <xf numFmtId="49" fontId="2" fillId="3" borderId="11" xfId="1" applyNumberFormat="1" applyFont="1" applyFill="1" applyBorder="1"/>
    <xf numFmtId="4" fontId="2" fillId="3" borderId="12" xfId="1" applyNumberFormat="1" applyFont="1" applyFill="1" applyBorder="1"/>
    <xf numFmtId="4" fontId="5" fillId="2" borderId="10" xfId="1" applyNumberFormat="1" applyFont="1" applyFill="1" applyBorder="1"/>
    <xf numFmtId="4" fontId="5" fillId="2" borderId="13" xfId="1" applyNumberFormat="1" applyFont="1" applyFill="1" applyBorder="1"/>
    <xf numFmtId="4" fontId="5" fillId="2" borderId="14" xfId="1" applyNumberFormat="1" applyFont="1" applyFill="1" applyBorder="1"/>
    <xf numFmtId="4" fontId="5" fillId="2" borderId="12" xfId="1" applyNumberFormat="1" applyFont="1" applyFill="1" applyBorder="1"/>
    <xf numFmtId="0" fontId="5" fillId="2" borderId="15" xfId="1" applyFont="1" applyFill="1" applyBorder="1"/>
    <xf numFmtId="0" fontId="5" fillId="2" borderId="12" xfId="1" applyFont="1" applyFill="1" applyBorder="1"/>
    <xf numFmtId="4" fontId="5" fillId="2" borderId="16" xfId="1" applyNumberFormat="1" applyFont="1" applyFill="1" applyBorder="1"/>
    <xf numFmtId="4" fontId="5" fillId="2" borderId="17" xfId="1" applyNumberFormat="1" applyFont="1" applyFill="1" applyBorder="1"/>
    <xf numFmtId="4" fontId="5" fillId="2" borderId="18" xfId="1" applyNumberFormat="1" applyFont="1" applyFill="1" applyBorder="1"/>
    <xf numFmtId="4" fontId="5" fillId="2" borderId="0" xfId="1" applyNumberFormat="1" applyFont="1" applyFill="1" applyBorder="1"/>
    <xf numFmtId="4" fontId="5" fillId="2" borderId="19" xfId="1" applyNumberFormat="1" applyFont="1" applyFill="1" applyBorder="1"/>
    <xf numFmtId="0" fontId="5" fillId="2" borderId="20" xfId="1" applyFont="1" applyFill="1" applyBorder="1"/>
    <xf numFmtId="0" fontId="5" fillId="2" borderId="19" xfId="1" applyFont="1" applyFill="1" applyBorder="1"/>
    <xf numFmtId="4" fontId="5" fillId="2" borderId="21" xfId="1" applyNumberFormat="1" applyFont="1" applyFill="1" applyBorder="1"/>
    <xf numFmtId="4" fontId="5" fillId="2" borderId="22" xfId="1" applyNumberFormat="1" applyFont="1" applyFill="1" applyBorder="1"/>
    <xf numFmtId="4" fontId="5" fillId="2" borderId="23" xfId="1" applyNumberFormat="1" applyFont="1" applyFill="1" applyBorder="1"/>
    <xf numFmtId="4" fontId="5" fillId="2" borderId="24" xfId="1" applyNumberFormat="1" applyFont="1" applyFill="1" applyBorder="1"/>
    <xf numFmtId="4" fontId="5" fillId="2" borderId="25" xfId="1" applyNumberFormat="1" applyFont="1" applyFill="1" applyBorder="1"/>
    <xf numFmtId="0" fontId="5" fillId="2" borderId="26" xfId="1" applyFont="1" applyFill="1" applyBorder="1"/>
    <xf numFmtId="0" fontId="5" fillId="2" borderId="25" xfId="1" applyFont="1" applyFill="1" applyBorder="1"/>
    <xf numFmtId="4" fontId="2" fillId="3" borderId="16" xfId="1" applyNumberFormat="1" applyFont="1" applyFill="1" applyBorder="1"/>
    <xf numFmtId="4" fontId="2" fillId="3" borderId="25" xfId="1" applyNumberFormat="1" applyFont="1" applyFill="1" applyBorder="1"/>
    <xf numFmtId="49" fontId="2" fillId="3" borderId="15" xfId="1" applyNumberFormat="1" applyFont="1" applyFill="1" applyBorder="1"/>
    <xf numFmtId="0" fontId="2" fillId="3" borderId="12" xfId="1" applyFont="1" applyFill="1" applyBorder="1"/>
    <xf numFmtId="4" fontId="2" fillId="3" borderId="6" xfId="1" applyNumberFormat="1" applyFont="1" applyFill="1" applyBorder="1"/>
    <xf numFmtId="4" fontId="3" fillId="3" borderId="21" xfId="1" applyNumberFormat="1" applyFont="1" applyFill="1" applyBorder="1" applyAlignment="1">
      <alignment horizontal="center" vertical="center" wrapText="1"/>
    </xf>
    <xf numFmtId="4" fontId="3" fillId="3" borderId="26" xfId="1" applyNumberFormat="1" applyFont="1" applyFill="1" applyBorder="1" applyAlignment="1">
      <alignment horizontal="center"/>
    </xf>
    <xf numFmtId="4" fontId="3" fillId="3" borderId="8" xfId="1" applyNumberFormat="1" applyFont="1" applyFill="1" applyBorder="1" applyAlignment="1">
      <alignment horizontal="center"/>
    </xf>
    <xf numFmtId="4" fontId="3" fillId="3" borderId="27" xfId="1" applyNumberFormat="1" applyFont="1" applyFill="1" applyBorder="1" applyAlignment="1">
      <alignment horizontal="center"/>
    </xf>
    <xf numFmtId="4" fontId="3" fillId="3" borderId="25" xfId="1" applyNumberFormat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4" fontId="3" fillId="2" borderId="15" xfId="1" applyNumberFormat="1" applyFont="1" applyFill="1" applyBorder="1" applyAlignment="1">
      <alignment horizontal="center"/>
    </xf>
    <xf numFmtId="4" fontId="3" fillId="2" borderId="28" xfId="1" applyNumberFormat="1" applyFont="1" applyFill="1" applyBorder="1" applyAlignment="1">
      <alignment horizontal="center"/>
    </xf>
    <xf numFmtId="4" fontId="3" fillId="2" borderId="29" xfId="1" applyNumberFormat="1" applyFont="1" applyFill="1" applyBorder="1" applyAlignment="1">
      <alignment horizontal="center"/>
    </xf>
    <xf numFmtId="4" fontId="3" fillId="2" borderId="19" xfId="1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/>
    <xf numFmtId="0" fontId="2" fillId="3" borderId="0" xfId="1" applyFont="1" applyFill="1"/>
    <xf numFmtId="4" fontId="7" fillId="3" borderId="0" xfId="1" applyNumberFormat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4" fontId="4" fillId="3" borderId="0" xfId="1" applyNumberFormat="1" applyFont="1" applyFill="1"/>
    <xf numFmtId="0" fontId="4" fillId="3" borderId="0" xfId="1" applyFont="1" applyFill="1"/>
    <xf numFmtId="0" fontId="7" fillId="3" borderId="0" xfId="1" applyFont="1" applyFill="1" applyAlignment="1">
      <alignment horizontal="center"/>
    </xf>
    <xf numFmtId="4" fontId="3" fillId="2" borderId="33" xfId="1" applyNumberFormat="1" applyFont="1" applyFill="1" applyBorder="1" applyAlignment="1">
      <alignment horizontal="center"/>
    </xf>
    <xf numFmtId="4" fontId="3" fillId="2" borderId="32" xfId="1" applyNumberFormat="1" applyFont="1" applyFill="1" applyBorder="1" applyAlignment="1">
      <alignment horizontal="center"/>
    </xf>
    <xf numFmtId="4" fontId="3" fillId="2" borderId="31" xfId="1" applyNumberFormat="1" applyFont="1" applyFill="1" applyBorder="1" applyAlignment="1">
      <alignment horizont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4" fontId="3" fillId="2" borderId="30" xfId="1" applyNumberFormat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topLeftCell="A10" zoomScale="75" zoomScaleNormal="50" workbookViewId="0">
      <selection activeCell="J40" sqref="J40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5"/>
      <c r="B1" s="75"/>
      <c r="C1" s="74"/>
      <c r="D1" s="74"/>
      <c r="E1" s="74"/>
      <c r="F1" s="74"/>
      <c r="G1" s="74"/>
    </row>
    <row r="2" spans="1:7" ht="18.75">
      <c r="A2" s="75"/>
      <c r="B2" s="75"/>
      <c r="C2" s="74"/>
      <c r="D2" s="74"/>
      <c r="E2" s="74"/>
      <c r="F2" s="74"/>
      <c r="G2" s="74"/>
    </row>
    <row r="3" spans="1:7" ht="18.75">
      <c r="A3" s="75"/>
      <c r="B3" s="75"/>
      <c r="C3" s="74"/>
      <c r="D3" s="74"/>
      <c r="E3" s="74"/>
      <c r="F3" s="74"/>
      <c r="G3" s="74"/>
    </row>
    <row r="4" spans="1:7" ht="18.75">
      <c r="A4" s="75"/>
      <c r="B4" s="75"/>
      <c r="C4" s="74"/>
      <c r="D4" s="74"/>
      <c r="E4" s="74"/>
      <c r="F4" s="74"/>
      <c r="G4" s="74"/>
    </row>
    <row r="5" spans="1:7" ht="18.75">
      <c r="A5" s="75"/>
      <c r="B5" s="75"/>
      <c r="C5" s="74"/>
      <c r="D5" s="74"/>
      <c r="E5" s="74"/>
      <c r="F5" s="74"/>
      <c r="G5" s="74"/>
    </row>
    <row r="6" spans="1:7" ht="18.75">
      <c r="A6" s="75"/>
      <c r="B6" s="75"/>
      <c r="C6" s="74"/>
      <c r="D6" s="74"/>
      <c r="E6" s="74"/>
      <c r="F6" s="74"/>
      <c r="G6" s="74"/>
    </row>
    <row r="7" spans="1:7" ht="18.75">
      <c r="A7" s="76" t="s">
        <v>39</v>
      </c>
      <c r="B7" s="76"/>
      <c r="C7" s="76"/>
      <c r="D7" s="76"/>
      <c r="E7" s="76"/>
      <c r="F7" s="76"/>
      <c r="G7" s="76"/>
    </row>
    <row r="8" spans="1:7" ht="18.75">
      <c r="A8" s="76" t="s">
        <v>47</v>
      </c>
      <c r="B8" s="76"/>
      <c r="C8" s="76"/>
      <c r="D8" s="76"/>
      <c r="E8" s="76"/>
      <c r="F8" s="76"/>
      <c r="G8" s="76"/>
    </row>
    <row r="9" spans="1:7" ht="18.75">
      <c r="A9" s="76" t="s">
        <v>52</v>
      </c>
      <c r="B9" s="76"/>
      <c r="C9" s="76"/>
      <c r="D9" s="76"/>
      <c r="E9" s="76"/>
      <c r="F9" s="76"/>
      <c r="G9" s="76"/>
    </row>
    <row r="10" spans="1:7" ht="18.75">
      <c r="A10" s="73"/>
      <c r="B10" s="73"/>
      <c r="C10" s="72"/>
      <c r="D10" s="72"/>
      <c r="E10" s="72"/>
      <c r="F10" s="72"/>
      <c r="G10" s="72"/>
    </row>
    <row r="11" spans="1:7" ht="16.5" thickBot="1">
      <c r="A11" s="70"/>
      <c r="B11" s="71"/>
      <c r="C11" s="70"/>
      <c r="D11" s="70"/>
      <c r="E11" s="70"/>
      <c r="F11" s="70"/>
      <c r="G11" s="70">
        <v>2650.7</v>
      </c>
    </row>
    <row r="12" spans="1:7" ht="16.5" thickBot="1">
      <c r="A12" s="80" t="s">
        <v>37</v>
      </c>
      <c r="B12" s="82"/>
      <c r="C12" s="77" t="s">
        <v>35</v>
      </c>
      <c r="D12" s="78"/>
      <c r="E12" s="78"/>
      <c r="F12" s="79"/>
      <c r="G12" s="84" t="s">
        <v>34</v>
      </c>
    </row>
    <row r="13" spans="1:7">
      <c r="A13" s="81"/>
      <c r="B13" s="83"/>
      <c r="C13" s="69" t="s">
        <v>33</v>
      </c>
      <c r="D13" s="68" t="s">
        <v>32</v>
      </c>
      <c r="E13" s="67"/>
      <c r="F13" s="66" t="s">
        <v>31</v>
      </c>
      <c r="G13" s="85"/>
    </row>
    <row r="14" spans="1:7">
      <c r="A14" s="65"/>
      <c r="B14" s="64"/>
      <c r="C14" s="63"/>
      <c r="D14" s="62"/>
      <c r="E14" s="61"/>
      <c r="F14" s="60"/>
      <c r="G14" s="59"/>
    </row>
    <row r="15" spans="1:7" ht="19.5">
      <c r="A15" s="53" t="s">
        <v>30</v>
      </c>
      <c r="B15" s="52" t="s">
        <v>29</v>
      </c>
      <c r="C15" s="51"/>
      <c r="D15" s="50"/>
      <c r="E15" s="49"/>
      <c r="F15" s="48"/>
      <c r="G15" s="47"/>
    </row>
    <row r="16" spans="1:7" ht="19.5">
      <c r="A16" s="46"/>
      <c r="B16" s="45" t="s">
        <v>28</v>
      </c>
      <c r="C16" s="44"/>
      <c r="D16" s="43"/>
      <c r="E16" s="42"/>
      <c r="F16" s="41"/>
      <c r="G16" s="40"/>
    </row>
    <row r="17" spans="1:7" ht="19.5">
      <c r="A17" s="39"/>
      <c r="B17" s="38" t="s">
        <v>27</v>
      </c>
      <c r="C17" s="37">
        <f>C18+C19+C20+C21</f>
        <v>5.0599999999999996</v>
      </c>
      <c r="D17" s="36">
        <f>SUM(D18:D21)</f>
        <v>164668.49550122247</v>
      </c>
      <c r="E17" s="36">
        <f>SUM(E18:E21)</f>
        <v>30.929095354523231</v>
      </c>
      <c r="F17" s="35">
        <f>SUM(F18:F21)</f>
        <v>141260.13134474331</v>
      </c>
      <c r="G17" s="34">
        <f>G18+G19+G20+G21</f>
        <v>138684.62399999998</v>
      </c>
    </row>
    <row r="18" spans="1:7">
      <c r="A18" s="30"/>
      <c r="B18" s="32" t="s">
        <v>26</v>
      </c>
      <c r="C18" s="33">
        <v>2.58</v>
      </c>
      <c r="D18" s="27">
        <f>C18/C39*D39</f>
        <v>83961.406797066011</v>
      </c>
      <c r="E18" s="27">
        <f>D18/$D$35*100</f>
        <v>15.770171149144256</v>
      </c>
      <c r="F18" s="27">
        <f>C18/C39*F39</f>
        <v>72025.916772616139</v>
      </c>
      <c r="G18" s="58">
        <f>2.33*G11*12</f>
        <v>74113.571999999986</v>
      </c>
    </row>
    <row r="19" spans="1:7">
      <c r="A19" s="30"/>
      <c r="B19" s="32" t="s">
        <v>25</v>
      </c>
      <c r="C19" s="28">
        <v>1.75</v>
      </c>
      <c r="D19" s="27">
        <f>C19/C39*D39</f>
        <v>56950.566625916865</v>
      </c>
      <c r="E19" s="27">
        <f>D19/$D$35*100</f>
        <v>10.696821515892422</v>
      </c>
      <c r="F19" s="27">
        <f>C19/C39*F39</f>
        <v>48854.78850855746</v>
      </c>
      <c r="G19" s="58">
        <f>1.4*G11*12</f>
        <v>44531.759999999995</v>
      </c>
    </row>
    <row r="20" spans="1:7">
      <c r="A20" s="30"/>
      <c r="B20" s="32" t="s">
        <v>24</v>
      </c>
      <c r="C20" s="28">
        <v>0.69</v>
      </c>
      <c r="D20" s="27">
        <f>C20/C39*D39</f>
        <v>22454.794841075793</v>
      </c>
      <c r="E20" s="27">
        <f>D20/$D$35*100</f>
        <v>4.21760391198044</v>
      </c>
      <c r="F20" s="27">
        <f>C20/C39*F39</f>
        <v>19262.745183374082</v>
      </c>
      <c r="G20" s="58">
        <f>0.63*G11*12</f>
        <v>20039.291999999998</v>
      </c>
    </row>
    <row r="21" spans="1:7">
      <c r="A21" s="57"/>
      <c r="B21" s="56" t="s">
        <v>23</v>
      </c>
      <c r="C21" s="55">
        <v>0.04</v>
      </c>
      <c r="D21" s="27">
        <f>C21/C39*D39</f>
        <v>1301.7272371638142</v>
      </c>
      <c r="E21" s="27">
        <f>D21/$D$35*100</f>
        <v>0.24449877750611246</v>
      </c>
      <c r="F21" s="27">
        <f>C21/C39*F39</f>
        <v>1116.680880195599</v>
      </c>
      <c r="G21" s="54">
        <v>0</v>
      </c>
    </row>
    <row r="22" spans="1:7" ht="19.5">
      <c r="A22" s="53" t="s">
        <v>22</v>
      </c>
      <c r="B22" s="52" t="s">
        <v>21</v>
      </c>
      <c r="C22" s="51"/>
      <c r="D22" s="50"/>
      <c r="E22" s="49"/>
      <c r="F22" s="48"/>
      <c r="G22" s="47"/>
    </row>
    <row r="23" spans="1:7" ht="19.5">
      <c r="A23" s="46"/>
      <c r="B23" s="45" t="s">
        <v>20</v>
      </c>
      <c r="C23" s="44"/>
      <c r="D23" s="43"/>
      <c r="E23" s="42"/>
      <c r="F23" s="41"/>
      <c r="G23" s="40"/>
    </row>
    <row r="24" spans="1:7" ht="19.5">
      <c r="A24" s="39"/>
      <c r="B24" s="38"/>
      <c r="C24" s="37">
        <f>C25+C26</f>
        <v>3.11</v>
      </c>
      <c r="D24" s="36">
        <f>D25+D26</f>
        <v>101209.29268948654</v>
      </c>
      <c r="E24" s="36">
        <f>E25+E26</f>
        <v>19.009779951100246</v>
      </c>
      <c r="F24" s="35">
        <f>F25+F26</f>
        <v>86821.93843520782</v>
      </c>
      <c r="G24" s="34">
        <f>G25+G26</f>
        <v>44845.9</v>
      </c>
    </row>
    <row r="25" spans="1:7">
      <c r="A25" s="30"/>
      <c r="B25" s="32" t="s">
        <v>19</v>
      </c>
      <c r="C25" s="33">
        <v>2.36</v>
      </c>
      <c r="D25" s="27">
        <f>C25/C39*D39</f>
        <v>76801.906992665026</v>
      </c>
      <c r="E25" s="27">
        <f>D25/$D$35*100</f>
        <v>14.425427872860636</v>
      </c>
      <c r="F25" s="27">
        <f>C25/C39*F39</f>
        <v>65884.171931540346</v>
      </c>
      <c r="G25" s="26">
        <f>51826-G28</f>
        <v>36448.9</v>
      </c>
    </row>
    <row r="26" spans="1:7">
      <c r="A26" s="30"/>
      <c r="B26" s="32" t="s">
        <v>18</v>
      </c>
      <c r="C26" s="28">
        <v>0.75</v>
      </c>
      <c r="D26" s="27">
        <f>C26/C39*D39</f>
        <v>24407.385696821515</v>
      </c>
      <c r="E26" s="27">
        <f>D26/$D$35*100</f>
        <v>4.5843520782396094</v>
      </c>
      <c r="F26" s="27">
        <f>C26/C39*F39</f>
        <v>20937.766503667481</v>
      </c>
      <c r="G26" s="26">
        <v>8397</v>
      </c>
    </row>
    <row r="27" spans="1:7" ht="19.5">
      <c r="A27" s="23" t="s">
        <v>17</v>
      </c>
      <c r="B27" s="22" t="s">
        <v>16</v>
      </c>
      <c r="C27" s="10">
        <f>C28+C29</f>
        <v>1.6400000000000001</v>
      </c>
      <c r="D27" s="21">
        <f>D28+D29</f>
        <v>53370.816723716373</v>
      </c>
      <c r="E27" s="21">
        <f>E28+E29</f>
        <v>10.024449877750612</v>
      </c>
      <c r="F27" s="20">
        <f>F28+F29</f>
        <v>45783.916088019556</v>
      </c>
      <c r="G27" s="19">
        <f>G28+G29</f>
        <v>28418.543999999998</v>
      </c>
    </row>
    <row r="28" spans="1:7">
      <c r="A28" s="30"/>
      <c r="B28" s="29" t="s">
        <v>15</v>
      </c>
      <c r="C28" s="28">
        <v>0.84</v>
      </c>
      <c r="D28" s="27">
        <f>C28/C39*D39</f>
        <v>27336.271980440095</v>
      </c>
      <c r="E28" s="27">
        <f>D28/$D$35*100</f>
        <v>5.1344743276283618</v>
      </c>
      <c r="F28" s="27">
        <f>C28/C39*F39</f>
        <v>23450.298484107578</v>
      </c>
      <c r="G28" s="26">
        <v>15377.1</v>
      </c>
    </row>
    <row r="29" spans="1:7">
      <c r="A29" s="30"/>
      <c r="B29" s="29" t="s">
        <v>14</v>
      </c>
      <c r="C29" s="28">
        <v>0.8</v>
      </c>
      <c r="D29" s="27">
        <f>C29/C39*D39</f>
        <v>26034.544743276281</v>
      </c>
      <c r="E29" s="27">
        <f>D29/$D$35*100</f>
        <v>4.8899755501222497</v>
      </c>
      <c r="F29" s="27">
        <f>C29/C39*F39</f>
        <v>22333.617603911982</v>
      </c>
      <c r="G29" s="26">
        <f>0.41*G11*12</f>
        <v>13041.443999999998</v>
      </c>
    </row>
    <row r="30" spans="1:7" ht="19.5">
      <c r="A30" s="23" t="s">
        <v>13</v>
      </c>
      <c r="B30" s="22" t="s">
        <v>12</v>
      </c>
      <c r="C30" s="10">
        <v>1.21</v>
      </c>
      <c r="D30" s="25">
        <f>C30/C39*D39</f>
        <v>39377.248924205371</v>
      </c>
      <c r="E30" s="25">
        <f>D30/$D$35*100</f>
        <v>7.3960880195599019</v>
      </c>
      <c r="F30" s="25">
        <f>C30/C39*F39</f>
        <v>33779.596625916864</v>
      </c>
      <c r="G30" s="19">
        <f>1.29*G11*12</f>
        <v>41032.835999999996</v>
      </c>
    </row>
    <row r="31" spans="1:7" ht="19.5">
      <c r="A31" s="23" t="s">
        <v>11</v>
      </c>
      <c r="B31" s="22" t="s">
        <v>10</v>
      </c>
      <c r="C31" s="10">
        <f>C32+C33</f>
        <v>4.54</v>
      </c>
      <c r="D31" s="21">
        <f>SUM(D32:D33)</f>
        <v>147746.04141809291</v>
      </c>
      <c r="E31" s="21">
        <f>SUM(E32:E33)</f>
        <v>27.750611246943766</v>
      </c>
      <c r="F31" s="20">
        <f>SUM(F32:F33)</f>
        <v>126743.27990220048</v>
      </c>
      <c r="G31" s="19">
        <f>G32+G33</f>
        <v>196893.99599999998</v>
      </c>
    </row>
    <row r="32" spans="1:7" ht="19.5">
      <c r="A32" s="18"/>
      <c r="B32" s="29" t="s">
        <v>56</v>
      </c>
      <c r="C32" s="28">
        <v>1.38</v>
      </c>
      <c r="D32" s="27">
        <f>C32/C39*D39</f>
        <v>44909.589682151585</v>
      </c>
      <c r="E32" s="27">
        <f>D32/$D$35*100</f>
        <v>8.4352078239608801</v>
      </c>
      <c r="F32" s="27">
        <f>C32/C39*F39</f>
        <v>38525.490366748163</v>
      </c>
      <c r="G32" s="31">
        <f>2.26*G11*12</f>
        <v>71886.983999999997</v>
      </c>
    </row>
    <row r="33" spans="1:7">
      <c r="A33" s="30"/>
      <c r="B33" s="29" t="s">
        <v>69</v>
      </c>
      <c r="C33" s="28">
        <v>3.16</v>
      </c>
      <c r="D33" s="27">
        <f>C33/C39*D39</f>
        <v>102836.45173594131</v>
      </c>
      <c r="E33" s="27">
        <f>D33/$D$35*100</f>
        <v>19.315403422982886</v>
      </c>
      <c r="F33" s="27">
        <f>C33/C39*F39</f>
        <v>88217.789535452321</v>
      </c>
      <c r="G33" s="26">
        <f xml:space="preserve"> 3.93*G11*12</f>
        <v>125007.012</v>
      </c>
    </row>
    <row r="34" spans="1:7" ht="19.5">
      <c r="A34" s="23" t="s">
        <v>8</v>
      </c>
      <c r="B34" s="22" t="s">
        <v>7</v>
      </c>
      <c r="C34" s="10">
        <v>0.8</v>
      </c>
      <c r="D34" s="25">
        <f>C34/C39*D39</f>
        <v>26034.544743276281</v>
      </c>
      <c r="E34" s="25">
        <f>D34/$D$35*100</f>
        <v>4.8899755501222497</v>
      </c>
      <c r="F34" s="25">
        <f>C34/C39*F39</f>
        <v>22333.617603911982</v>
      </c>
      <c r="G34" s="19">
        <f>1.01*G11*12</f>
        <v>32126.483999999997</v>
      </c>
    </row>
    <row r="35" spans="1:7" ht="19.5">
      <c r="A35" s="23"/>
      <c r="B35" s="22" t="s">
        <v>6</v>
      </c>
      <c r="C35" s="10">
        <f>C17+C24+C27+C30+C31+C34</f>
        <v>16.36</v>
      </c>
      <c r="D35" s="21">
        <f>(D17+D24+D27+D30+D31+D34)</f>
        <v>532406.43999999994</v>
      </c>
      <c r="E35" s="24">
        <f>D35/$D$35*100</f>
        <v>100</v>
      </c>
      <c r="F35" s="20">
        <f>F17+F24+F27+F30+F31+F34</f>
        <v>456722.47999999992</v>
      </c>
      <c r="G35" s="19">
        <f>G17+G24+G27+G30+G31+G34</f>
        <v>482002.38399999996</v>
      </c>
    </row>
    <row r="36" spans="1:7" ht="19.5">
      <c r="A36" s="18"/>
      <c r="B36" s="17"/>
      <c r="C36" s="16"/>
      <c r="D36" s="15"/>
      <c r="E36" s="15">
        <f>D36/$D$35*100</f>
        <v>0</v>
      </c>
      <c r="F36" s="15"/>
      <c r="G36" s="15"/>
    </row>
    <row r="37" spans="1:7" ht="19.5">
      <c r="A37" s="23"/>
      <c r="B37" s="22"/>
      <c r="C37" s="10"/>
      <c r="D37" s="21"/>
      <c r="E37" s="21">
        <f>E35*18/100</f>
        <v>18</v>
      </c>
      <c r="F37" s="20"/>
      <c r="G37" s="19"/>
    </row>
    <row r="38" spans="1:7" ht="19.5">
      <c r="A38" s="18"/>
      <c r="B38" s="17"/>
      <c r="C38" s="16"/>
      <c r="D38" s="15"/>
      <c r="E38" s="15"/>
      <c r="F38" s="14"/>
      <c r="G38" s="13"/>
    </row>
    <row r="39" spans="1:7" ht="20.25" thickBot="1">
      <c r="A39" s="12"/>
      <c r="B39" s="11" t="s">
        <v>5</v>
      </c>
      <c r="C39" s="10">
        <f>C35+C36</f>
        <v>16.36</v>
      </c>
      <c r="D39" s="9">
        <v>532406.43999999994</v>
      </c>
      <c r="E39" s="9">
        <f>E35+E37</f>
        <v>118</v>
      </c>
      <c r="F39" s="8">
        <v>456722.48</v>
      </c>
      <c r="G39" s="7">
        <f>G35+G36</f>
        <v>482002.38399999996</v>
      </c>
    </row>
    <row r="40" spans="1:7">
      <c r="D40" s="2" t="s">
        <v>4</v>
      </c>
      <c r="F40" s="6">
        <v>0.93289999999999995</v>
      </c>
    </row>
    <row r="42" spans="1:7" ht="18.75">
      <c r="A42" s="5"/>
      <c r="B42" s="4" t="s">
        <v>53</v>
      </c>
      <c r="C42" s="3">
        <v>72559.23</v>
      </c>
      <c r="D42" s="3" t="s">
        <v>1</v>
      </c>
    </row>
    <row r="43" spans="1:7" ht="18.75">
      <c r="A43" s="5"/>
      <c r="B43" s="4" t="s">
        <v>54</v>
      </c>
      <c r="C43" s="3">
        <f>D39-F39</f>
        <v>75683.959999999963</v>
      </c>
      <c r="D43" s="3" t="s">
        <v>1</v>
      </c>
    </row>
    <row r="44" spans="1:7" ht="18.75">
      <c r="A44" s="5"/>
      <c r="B44" s="4" t="s">
        <v>2</v>
      </c>
      <c r="C44" s="3">
        <f>C42+C43</f>
        <v>148243.18999999994</v>
      </c>
      <c r="D44" s="3" t="s">
        <v>1</v>
      </c>
    </row>
    <row r="45" spans="1:7" ht="18.75">
      <c r="A45" s="5"/>
      <c r="B45" s="4"/>
      <c r="C45" s="3"/>
      <c r="D45" s="3"/>
      <c r="E45" s="1"/>
      <c r="F45" s="1"/>
      <c r="G45" s="1"/>
    </row>
    <row r="49" spans="2:7">
      <c r="B49" s="1" t="s">
        <v>46</v>
      </c>
      <c r="E49" s="1"/>
      <c r="F49" s="1"/>
      <c r="G49" s="1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2"/>
  <sheetViews>
    <sheetView topLeftCell="A10" zoomScale="75" zoomScaleNormal="50" workbookViewId="0">
      <selection activeCell="G33" sqref="G33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5"/>
      <c r="B1" s="75"/>
      <c r="C1" s="74"/>
      <c r="D1" s="74"/>
      <c r="E1" s="74"/>
      <c r="F1" s="74"/>
      <c r="G1" s="74"/>
    </row>
    <row r="2" spans="1:7" ht="18.75">
      <c r="A2" s="75"/>
      <c r="B2" s="75"/>
      <c r="C2" s="74"/>
      <c r="D2" s="74"/>
      <c r="E2" s="74"/>
      <c r="F2" s="74"/>
      <c r="G2" s="74"/>
    </row>
    <row r="3" spans="1:7" ht="18.75">
      <c r="A3" s="75"/>
      <c r="B3" s="75"/>
      <c r="C3" s="74"/>
      <c r="D3" s="74"/>
      <c r="E3" s="74"/>
      <c r="F3" s="74"/>
      <c r="G3" s="74"/>
    </row>
    <row r="4" spans="1:7" ht="18.75">
      <c r="A4" s="75"/>
      <c r="B4" s="75"/>
      <c r="C4" s="74"/>
      <c r="D4" s="74"/>
      <c r="E4" s="74"/>
      <c r="F4" s="74"/>
      <c r="G4" s="74"/>
    </row>
    <row r="5" spans="1:7" ht="18.75">
      <c r="A5" s="75"/>
      <c r="B5" s="75"/>
      <c r="C5" s="74"/>
      <c r="D5" s="74"/>
      <c r="E5" s="74"/>
      <c r="F5" s="74"/>
      <c r="G5" s="74"/>
    </row>
    <row r="6" spans="1:7" ht="18.75">
      <c r="A6" s="75"/>
      <c r="B6" s="75"/>
      <c r="C6" s="74"/>
      <c r="D6" s="74"/>
      <c r="E6" s="74"/>
      <c r="F6" s="74"/>
      <c r="G6" s="74"/>
    </row>
    <row r="7" spans="1:7" ht="18.75">
      <c r="A7" s="76" t="s">
        <v>49</v>
      </c>
      <c r="B7" s="76"/>
      <c r="C7" s="76"/>
      <c r="D7" s="76"/>
      <c r="E7" s="76"/>
      <c r="F7" s="76"/>
      <c r="G7" s="76"/>
    </row>
    <row r="8" spans="1:7" ht="18.75">
      <c r="A8" s="76" t="s">
        <v>48</v>
      </c>
      <c r="B8" s="76"/>
      <c r="C8" s="76"/>
      <c r="D8" s="76"/>
      <c r="E8" s="76"/>
      <c r="F8" s="76"/>
      <c r="G8" s="76"/>
    </row>
    <row r="9" spans="1:7" ht="18.75">
      <c r="A9" s="76" t="s">
        <v>52</v>
      </c>
      <c r="B9" s="76"/>
      <c r="C9" s="76"/>
      <c r="D9" s="76"/>
      <c r="E9" s="76"/>
      <c r="F9" s="76"/>
      <c r="G9" s="76"/>
    </row>
    <row r="10" spans="1:7" ht="18.75">
      <c r="A10" s="73"/>
      <c r="B10" s="73"/>
      <c r="C10" s="72"/>
      <c r="D10" s="72"/>
      <c r="E10" s="72"/>
      <c r="F10" s="72"/>
      <c r="G10" s="72"/>
    </row>
    <row r="11" spans="1:7" ht="16.5" thickBot="1">
      <c r="A11" s="70"/>
      <c r="B11" s="71"/>
      <c r="C11" s="70"/>
      <c r="D11" s="70"/>
      <c r="E11" s="70"/>
      <c r="F11" s="70"/>
      <c r="G11" s="70">
        <v>2704.2</v>
      </c>
    </row>
    <row r="12" spans="1:7" ht="16.5" thickBot="1">
      <c r="A12" s="80" t="s">
        <v>37</v>
      </c>
      <c r="B12" s="82" t="s">
        <v>36</v>
      </c>
      <c r="C12" s="77" t="s">
        <v>35</v>
      </c>
      <c r="D12" s="78"/>
      <c r="E12" s="78"/>
      <c r="F12" s="79"/>
      <c r="G12" s="84" t="s">
        <v>34</v>
      </c>
    </row>
    <row r="13" spans="1:7">
      <c r="A13" s="81"/>
      <c r="B13" s="83"/>
      <c r="C13" s="69" t="s">
        <v>33</v>
      </c>
      <c r="D13" s="68" t="s">
        <v>32</v>
      </c>
      <c r="E13" s="67"/>
      <c r="F13" s="66" t="s">
        <v>31</v>
      </c>
      <c r="G13" s="85"/>
    </row>
    <row r="14" spans="1:7">
      <c r="A14" s="65"/>
      <c r="B14" s="64"/>
      <c r="C14" s="63"/>
      <c r="D14" s="62"/>
      <c r="E14" s="61"/>
      <c r="F14" s="60"/>
      <c r="G14" s="59"/>
    </row>
    <row r="15" spans="1:7" ht="19.5">
      <c r="A15" s="53" t="s">
        <v>30</v>
      </c>
      <c r="B15" s="52" t="s">
        <v>29</v>
      </c>
      <c r="C15" s="51"/>
      <c r="D15" s="50"/>
      <c r="E15" s="49"/>
      <c r="F15" s="48"/>
      <c r="G15" s="47"/>
    </row>
    <row r="16" spans="1:7" ht="19.5">
      <c r="A16" s="46"/>
      <c r="B16" s="45" t="s">
        <v>28</v>
      </c>
      <c r="C16" s="44"/>
      <c r="D16" s="43"/>
      <c r="E16" s="42"/>
      <c r="F16" s="41"/>
      <c r="G16" s="40"/>
    </row>
    <row r="17" spans="1:7" ht="19.5">
      <c r="A17" s="39"/>
      <c r="B17" s="38" t="s">
        <v>27</v>
      </c>
      <c r="C17" s="37">
        <f>C18+C19+C20+C21</f>
        <v>5.0599999999999996</v>
      </c>
      <c r="D17" s="36">
        <f>SUM(D18:D21)</f>
        <v>164196.28244498782</v>
      </c>
      <c r="E17" s="36">
        <f>SUM(E18:E21)</f>
        <v>30.929095354523231</v>
      </c>
      <c r="F17" s="35">
        <f>SUM(F18:F21)</f>
        <v>156552.06992665038</v>
      </c>
      <c r="G17" s="34">
        <f>G18+G19+G20+G21</f>
        <v>141483.74400000001</v>
      </c>
    </row>
    <row r="18" spans="1:7">
      <c r="A18" s="30"/>
      <c r="B18" s="32" t="s">
        <v>26</v>
      </c>
      <c r="C18" s="33">
        <v>2.58</v>
      </c>
      <c r="D18" s="27">
        <f>C18/C39*D39</f>
        <v>83720.634132029358</v>
      </c>
      <c r="E18" s="27">
        <f>D18/$D$35*100</f>
        <v>15.770171149144256</v>
      </c>
      <c r="F18" s="27">
        <f>C18/C39*F39</f>
        <v>79822.99217603913</v>
      </c>
      <c r="G18" s="58">
        <f>2.33*G11*12</f>
        <v>75609.432000000001</v>
      </c>
    </row>
    <row r="19" spans="1:7">
      <c r="A19" s="30"/>
      <c r="B19" s="32" t="s">
        <v>25</v>
      </c>
      <c r="C19" s="28">
        <v>1.75</v>
      </c>
      <c r="D19" s="27">
        <f>C19/C39*D39</f>
        <v>56787.25183374084</v>
      </c>
      <c r="E19" s="27">
        <f>D19/$D$35*100</f>
        <v>10.696821515892422</v>
      </c>
      <c r="F19" s="27">
        <f>C19/C39*F39</f>
        <v>54143.502444987782</v>
      </c>
      <c r="G19" s="58">
        <f>1.4*G11*12</f>
        <v>45430.559999999998</v>
      </c>
    </row>
    <row r="20" spans="1:7">
      <c r="A20" s="30">
        <v>0</v>
      </c>
      <c r="B20" s="32" t="s">
        <v>24</v>
      </c>
      <c r="C20" s="28">
        <v>0.69</v>
      </c>
      <c r="D20" s="27">
        <f>C20/C39*D39</f>
        <v>22390.402151589245</v>
      </c>
      <c r="E20" s="27">
        <f>D20/$D$35*100</f>
        <v>4.21760391198044</v>
      </c>
      <c r="F20" s="27">
        <f>C20/C39*F39</f>
        <v>21348.009535452326</v>
      </c>
      <c r="G20" s="58">
        <f>0.63*G11*12</f>
        <v>20443.752</v>
      </c>
    </row>
    <row r="21" spans="1:7">
      <c r="A21" s="57"/>
      <c r="B21" s="56" t="s">
        <v>23</v>
      </c>
      <c r="C21" s="55">
        <v>0.04</v>
      </c>
      <c r="D21" s="27">
        <f>C21/C39*D39</f>
        <v>1297.994327628362</v>
      </c>
      <c r="E21" s="27">
        <f>D21/$D$35*100</f>
        <v>0.24449877750611246</v>
      </c>
      <c r="F21" s="27">
        <f>C21/C39*F39</f>
        <v>1237.5657701711491</v>
      </c>
      <c r="G21" s="54">
        <v>0</v>
      </c>
    </row>
    <row r="22" spans="1:7" ht="19.5">
      <c r="A22" s="53" t="s">
        <v>22</v>
      </c>
      <c r="B22" s="52" t="s">
        <v>21</v>
      </c>
      <c r="C22" s="51"/>
      <c r="D22" s="50"/>
      <c r="E22" s="49"/>
      <c r="F22" s="48"/>
      <c r="G22" s="47"/>
    </row>
    <row r="23" spans="1:7" ht="19.5">
      <c r="A23" s="46"/>
      <c r="B23" s="45" t="s">
        <v>20</v>
      </c>
      <c r="C23" s="44"/>
      <c r="D23" s="43"/>
      <c r="E23" s="42"/>
      <c r="F23" s="41"/>
      <c r="G23" s="40"/>
    </row>
    <row r="24" spans="1:7" ht="19.5">
      <c r="A24" s="39"/>
      <c r="B24" s="38"/>
      <c r="C24" s="37">
        <f>C25+C26</f>
        <v>3.11</v>
      </c>
      <c r="D24" s="36">
        <f>D25+D26</f>
        <v>100919.05897310514</v>
      </c>
      <c r="E24" s="36">
        <f>E25+E26</f>
        <v>19.009779951100246</v>
      </c>
      <c r="F24" s="35">
        <f>F25+F26</f>
        <v>96220.738630806853</v>
      </c>
      <c r="G24" s="34">
        <f>G25+G26</f>
        <v>50462.7</v>
      </c>
    </row>
    <row r="25" spans="1:7">
      <c r="A25" s="30"/>
      <c r="B25" s="32" t="s">
        <v>19</v>
      </c>
      <c r="C25" s="33">
        <v>2.36</v>
      </c>
      <c r="D25" s="27">
        <f>C25/C39*D39</f>
        <v>76581.66533007336</v>
      </c>
      <c r="E25" s="27">
        <f>D25/$D$35*100</f>
        <v>14.425427872860636</v>
      </c>
      <c r="F25" s="27">
        <f>C25/C39*F39</f>
        <v>73016.380440097797</v>
      </c>
      <c r="G25" s="26">
        <v>27705</v>
      </c>
    </row>
    <row r="26" spans="1:7">
      <c r="A26" s="30"/>
      <c r="B26" s="32" t="s">
        <v>18</v>
      </c>
      <c r="C26" s="28">
        <v>0.75</v>
      </c>
      <c r="D26" s="27">
        <f>C26/C39*D39</f>
        <v>24337.393643031788</v>
      </c>
      <c r="E26" s="27">
        <f>D26/$D$35*100</f>
        <v>4.5843520782396094</v>
      </c>
      <c r="F26" s="27">
        <f>C26/C39*F39</f>
        <v>23204.358190709048</v>
      </c>
      <c r="G26" s="26">
        <f>32511-G29</f>
        <v>22757.7</v>
      </c>
    </row>
    <row r="27" spans="1:7" ht="19.5">
      <c r="A27" s="23" t="s">
        <v>17</v>
      </c>
      <c r="B27" s="22" t="s">
        <v>16</v>
      </c>
      <c r="C27" s="10">
        <f>C28+C29</f>
        <v>1.6400000000000001</v>
      </c>
      <c r="D27" s="21">
        <f>D28+D29</f>
        <v>53217.767432762841</v>
      </c>
      <c r="E27" s="21">
        <f>E28+E29</f>
        <v>10.024449877750612</v>
      </c>
      <c r="F27" s="20">
        <f>F28+F29</f>
        <v>50740.196577017123</v>
      </c>
      <c r="G27" s="19">
        <f>G28+G29</f>
        <v>13029.3</v>
      </c>
    </row>
    <row r="28" spans="1:7">
      <c r="A28" s="30"/>
      <c r="B28" s="29" t="s">
        <v>15</v>
      </c>
      <c r="C28" s="28">
        <v>0.84</v>
      </c>
      <c r="D28" s="27">
        <f>C28/C39*D39</f>
        <v>27257.8808801956</v>
      </c>
      <c r="E28" s="27">
        <f>D28/$D$35*100</f>
        <v>5.1344743276283618</v>
      </c>
      <c r="F28" s="27">
        <f>C28/C39*F39</f>
        <v>25988.881173594134</v>
      </c>
      <c r="G28" s="26">
        <v>3276</v>
      </c>
    </row>
    <row r="29" spans="1:7">
      <c r="A29" s="30"/>
      <c r="B29" s="29" t="s">
        <v>14</v>
      </c>
      <c r="C29" s="28">
        <v>0.8</v>
      </c>
      <c r="D29" s="27">
        <f>C29/C39*D39</f>
        <v>25959.886552567241</v>
      </c>
      <c r="E29" s="27">
        <f>D29/$D$35*100</f>
        <v>4.8899755501222497</v>
      </c>
      <c r="F29" s="27">
        <f>C29/C39*F39</f>
        <v>24751.315403422985</v>
      </c>
      <c r="G29" s="26">
        <v>9753.2999999999993</v>
      </c>
    </row>
    <row r="30" spans="1:7" ht="19.5">
      <c r="A30" s="23" t="s">
        <v>13</v>
      </c>
      <c r="B30" s="22" t="s">
        <v>12</v>
      </c>
      <c r="C30" s="10">
        <v>1.21</v>
      </c>
      <c r="D30" s="25">
        <f>C30/C39*D39</f>
        <v>39264.328410757946</v>
      </c>
      <c r="E30" s="25">
        <f>D30/$D$35*100</f>
        <v>7.3960880195599019</v>
      </c>
      <c r="F30" s="25">
        <f>C30/C39*F39</f>
        <v>37436.364547677258</v>
      </c>
      <c r="G30" s="19">
        <f>1.29*G11*12</f>
        <v>41861.015999999996</v>
      </c>
    </row>
    <row r="31" spans="1:7" ht="19.5">
      <c r="A31" s="23" t="s">
        <v>11</v>
      </c>
      <c r="B31" s="22" t="s">
        <v>10</v>
      </c>
      <c r="C31" s="10">
        <f>C32+C33</f>
        <v>4.54</v>
      </c>
      <c r="D31" s="21">
        <f>SUM(D32:D33)</f>
        <v>147322.35618581908</v>
      </c>
      <c r="E31" s="21">
        <f>SUM(E32:E33)</f>
        <v>27.750611246943766</v>
      </c>
      <c r="F31" s="20">
        <f>SUM(F32:F33)</f>
        <v>140463.71491442545</v>
      </c>
      <c r="G31" s="19">
        <f>G32+G33</f>
        <v>200867.97599999997</v>
      </c>
    </row>
    <row r="32" spans="1:7" ht="19.5">
      <c r="A32" s="18"/>
      <c r="B32" s="29" t="s">
        <v>57</v>
      </c>
      <c r="C32" s="28">
        <v>1.38</v>
      </c>
      <c r="D32" s="27">
        <f>C32/C39*D39</f>
        <v>44780.804303178491</v>
      </c>
      <c r="E32" s="27">
        <f>D32/$D$35*100</f>
        <v>8.4352078239608801</v>
      </c>
      <c r="F32" s="27">
        <f>C32/C39*F39</f>
        <v>42696.019070904651</v>
      </c>
      <c r="G32" s="31">
        <f>2.26*G11*12</f>
        <v>73337.903999999995</v>
      </c>
    </row>
    <row r="33" spans="1:7">
      <c r="A33" s="30"/>
      <c r="B33" s="29" t="s">
        <v>58</v>
      </c>
      <c r="C33" s="28">
        <v>3.16</v>
      </c>
      <c r="D33" s="27">
        <f>C33/C39*D39</f>
        <v>102541.5518826406</v>
      </c>
      <c r="E33" s="27">
        <f>D33/$D$35*100</f>
        <v>19.315403422982886</v>
      </c>
      <c r="F33" s="27">
        <f>C33/C39*F39</f>
        <v>97767.695843520793</v>
      </c>
      <c r="G33" s="26">
        <f>3.93*G11*12</f>
        <v>127530.07199999999</v>
      </c>
    </row>
    <row r="34" spans="1:7" ht="19.5">
      <c r="A34" s="23" t="s">
        <v>8</v>
      </c>
      <c r="B34" s="22" t="s">
        <v>7</v>
      </c>
      <c r="C34" s="10">
        <v>0.8</v>
      </c>
      <c r="D34" s="25">
        <f>C34/C39*D39</f>
        <v>25959.886552567241</v>
      </c>
      <c r="E34" s="25">
        <f>D34/$D$35*100</f>
        <v>4.8899755501222497</v>
      </c>
      <c r="F34" s="25">
        <f>C34/C39*F39</f>
        <v>24751.315403422985</v>
      </c>
      <c r="G34" s="19">
        <f xml:space="preserve"> 1.01*G11*12</f>
        <v>32774.903999999995</v>
      </c>
    </row>
    <row r="35" spans="1:7" ht="19.5">
      <c r="A35" s="23"/>
      <c r="B35" s="22" t="s">
        <v>6</v>
      </c>
      <c r="C35" s="10">
        <f>C17+C24+C27+C30+C31+C34</f>
        <v>16.36</v>
      </c>
      <c r="D35" s="21">
        <f>(D17+D24+D27+D30+D31+D34)</f>
        <v>530879.68000000005</v>
      </c>
      <c r="E35" s="24">
        <f>D35/$D$35*100</f>
        <v>100</v>
      </c>
      <c r="F35" s="20">
        <f>F17+F24+F27+F30+F31+F34</f>
        <v>506164.40000000008</v>
      </c>
      <c r="G35" s="19">
        <f>G17+G24+G27+G30+G31+G34</f>
        <v>480479.63999999996</v>
      </c>
    </row>
    <row r="36" spans="1:7" ht="19.5">
      <c r="A36" s="18"/>
      <c r="B36" s="17"/>
      <c r="C36" s="16"/>
      <c r="D36" s="15"/>
      <c r="E36" s="15">
        <f>D36/$D$35*100</f>
        <v>0</v>
      </c>
      <c r="F36" s="15"/>
      <c r="G36" s="15"/>
    </row>
    <row r="37" spans="1:7" ht="19.5">
      <c r="A37" s="23"/>
      <c r="B37" s="22"/>
      <c r="C37" s="10"/>
      <c r="D37" s="21"/>
      <c r="E37" s="21">
        <f>E35*18/100</f>
        <v>18</v>
      </c>
      <c r="F37" s="20"/>
      <c r="G37" s="19"/>
    </row>
    <row r="38" spans="1:7" ht="19.5">
      <c r="A38" s="18"/>
      <c r="B38" s="17"/>
      <c r="C38" s="16"/>
      <c r="D38" s="15"/>
      <c r="E38" s="15"/>
      <c r="F38" s="14"/>
      <c r="G38" s="13"/>
    </row>
    <row r="39" spans="1:7" ht="20.25" thickBot="1">
      <c r="A39" s="12"/>
      <c r="B39" s="11" t="s">
        <v>5</v>
      </c>
      <c r="C39" s="10">
        <f>C35+C36</f>
        <v>16.36</v>
      </c>
      <c r="D39" s="9">
        <v>530879.68000000005</v>
      </c>
      <c r="E39" s="9">
        <f>E35+E37</f>
        <v>118</v>
      </c>
      <c r="F39" s="8">
        <v>506164.4</v>
      </c>
      <c r="G39" s="7">
        <f>G35+G36</f>
        <v>480479.63999999996</v>
      </c>
    </row>
    <row r="40" spans="1:7">
      <c r="D40" s="2" t="s">
        <v>4</v>
      </c>
      <c r="F40" s="6">
        <f>F39/D39</f>
        <v>0.95344466753747281</v>
      </c>
    </row>
    <row r="41" spans="1:7">
      <c r="G41" s="2">
        <f>F39-G39</f>
        <v>25684.760000000068</v>
      </c>
    </row>
    <row r="42" spans="1:7" ht="18.75">
      <c r="A42" s="5"/>
      <c r="B42" s="4" t="s">
        <v>53</v>
      </c>
      <c r="C42" s="3">
        <v>198526.02</v>
      </c>
      <c r="D42" s="3" t="s">
        <v>1</v>
      </c>
    </row>
    <row r="43" spans="1:7" ht="18.75">
      <c r="A43" s="5"/>
      <c r="B43" s="4" t="s">
        <v>54</v>
      </c>
      <c r="C43" s="3">
        <f>D39-F39</f>
        <v>24715.280000000028</v>
      </c>
      <c r="D43" s="3" t="s">
        <v>1</v>
      </c>
    </row>
    <row r="44" spans="1:7" ht="18.75">
      <c r="A44" s="5"/>
      <c r="B44" s="4" t="s">
        <v>2</v>
      </c>
      <c r="C44" s="3">
        <f>C42+C43</f>
        <v>223241.30000000002</v>
      </c>
      <c r="D44" s="3" t="s">
        <v>1</v>
      </c>
    </row>
    <row r="45" spans="1:7" ht="18.75">
      <c r="A45" s="5"/>
      <c r="B45" s="4"/>
      <c r="C45" s="3"/>
      <c r="D45" s="3"/>
      <c r="E45" s="1"/>
      <c r="F45" s="1"/>
      <c r="G45" s="1"/>
    </row>
    <row r="52" spans="2:7">
      <c r="B52" s="1" t="s">
        <v>46</v>
      </c>
      <c r="E52" s="1"/>
      <c r="F52" s="1"/>
      <c r="G52" s="1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topLeftCell="A10" zoomScale="75" zoomScaleNormal="50" workbookViewId="0">
      <selection activeCell="G18" sqref="G18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5"/>
      <c r="B1" s="75"/>
      <c r="C1" s="74"/>
      <c r="D1" s="74"/>
      <c r="E1" s="74"/>
      <c r="F1" s="74"/>
      <c r="G1" s="74"/>
    </row>
    <row r="2" spans="1:7" ht="18.75">
      <c r="A2" s="75"/>
      <c r="B2" s="75"/>
      <c r="C2" s="74"/>
      <c r="D2" s="74"/>
      <c r="E2" s="74"/>
      <c r="F2" s="74"/>
      <c r="G2" s="74"/>
    </row>
    <row r="3" spans="1:7" ht="18.75">
      <c r="A3" s="75"/>
      <c r="B3" s="75"/>
      <c r="C3" s="74"/>
      <c r="D3" s="74"/>
      <c r="E3" s="74"/>
      <c r="F3" s="74"/>
      <c r="G3" s="74"/>
    </row>
    <row r="4" spans="1:7" ht="18.75">
      <c r="A4" s="75"/>
      <c r="B4" s="75"/>
      <c r="C4" s="74"/>
      <c r="D4" s="74"/>
      <c r="E4" s="74"/>
      <c r="F4" s="74"/>
      <c r="G4" s="74"/>
    </row>
    <row r="5" spans="1:7" ht="18.75">
      <c r="A5" s="75"/>
      <c r="B5" s="75"/>
      <c r="C5" s="74"/>
      <c r="D5" s="74"/>
      <c r="E5" s="74"/>
      <c r="F5" s="74"/>
      <c r="G5" s="74"/>
    </row>
    <row r="6" spans="1:7" ht="18.75">
      <c r="A6" s="75"/>
      <c r="B6" s="75"/>
      <c r="C6" s="74"/>
      <c r="D6" s="74"/>
      <c r="E6" s="74"/>
      <c r="F6" s="74"/>
      <c r="G6" s="74"/>
    </row>
    <row r="7" spans="1:7" ht="18.75">
      <c r="A7" s="76" t="s">
        <v>51</v>
      </c>
      <c r="B7" s="76"/>
      <c r="C7" s="76"/>
      <c r="D7" s="76"/>
      <c r="E7" s="76"/>
      <c r="F7" s="76"/>
      <c r="G7" s="76"/>
    </row>
    <row r="8" spans="1:7" ht="18.75">
      <c r="A8" s="76" t="s">
        <v>50</v>
      </c>
      <c r="B8" s="76"/>
      <c r="C8" s="76"/>
      <c r="D8" s="76"/>
      <c r="E8" s="76"/>
      <c r="F8" s="76"/>
      <c r="G8" s="76"/>
    </row>
    <row r="9" spans="1:7" ht="18.75">
      <c r="A9" s="76" t="s">
        <v>52</v>
      </c>
      <c r="B9" s="76"/>
      <c r="C9" s="76"/>
      <c r="D9" s="76"/>
      <c r="E9" s="76"/>
      <c r="F9" s="76"/>
      <c r="G9" s="76"/>
    </row>
    <row r="10" spans="1:7" ht="18.75">
      <c r="A10" s="73"/>
      <c r="B10" s="73"/>
      <c r="C10" s="72"/>
      <c r="D10" s="72"/>
      <c r="E10" s="72"/>
      <c r="F10" s="72"/>
      <c r="G10" s="72"/>
    </row>
    <row r="11" spans="1:7" ht="16.5" thickBot="1">
      <c r="A11" s="70"/>
      <c r="B11" s="71"/>
      <c r="C11" s="70"/>
      <c r="D11" s="70"/>
      <c r="E11" s="70"/>
      <c r="F11" s="70"/>
      <c r="G11" s="70">
        <v>3521.3</v>
      </c>
    </row>
    <row r="12" spans="1:7" ht="16.5" thickBot="1">
      <c r="A12" s="80" t="s">
        <v>37</v>
      </c>
      <c r="B12" s="82" t="s">
        <v>36</v>
      </c>
      <c r="C12" s="77" t="s">
        <v>35</v>
      </c>
      <c r="D12" s="78"/>
      <c r="E12" s="78"/>
      <c r="F12" s="79"/>
      <c r="G12" s="84" t="s">
        <v>34</v>
      </c>
    </row>
    <row r="13" spans="1:7">
      <c r="A13" s="81"/>
      <c r="B13" s="83"/>
      <c r="C13" s="69" t="s">
        <v>33</v>
      </c>
      <c r="D13" s="68" t="s">
        <v>32</v>
      </c>
      <c r="E13" s="67"/>
      <c r="F13" s="66" t="s">
        <v>31</v>
      </c>
      <c r="G13" s="85"/>
    </row>
    <row r="14" spans="1:7">
      <c r="A14" s="65"/>
      <c r="B14" s="64"/>
      <c r="C14" s="63"/>
      <c r="D14" s="62"/>
      <c r="E14" s="61"/>
      <c r="F14" s="60"/>
      <c r="G14" s="59"/>
    </row>
    <row r="15" spans="1:7" ht="19.5">
      <c r="A15" s="53" t="s">
        <v>30</v>
      </c>
      <c r="B15" s="52" t="s">
        <v>29</v>
      </c>
      <c r="C15" s="51"/>
      <c r="D15" s="50"/>
      <c r="E15" s="49"/>
      <c r="F15" s="48"/>
      <c r="G15" s="47"/>
    </row>
    <row r="16" spans="1:7" ht="19.5">
      <c r="A16" s="46"/>
      <c r="B16" s="45" t="s">
        <v>28</v>
      </c>
      <c r="C16" s="44"/>
      <c r="D16" s="43"/>
      <c r="E16" s="42"/>
      <c r="F16" s="41"/>
      <c r="G16" s="40"/>
    </row>
    <row r="17" spans="1:7" ht="19.5">
      <c r="A17" s="39"/>
      <c r="B17" s="38" t="s">
        <v>27</v>
      </c>
      <c r="C17" s="37">
        <f>C18+C19+C20+C21</f>
        <v>5.0599999999999996</v>
      </c>
      <c r="D17" s="36">
        <f>SUM(D18:D21)</f>
        <v>213813.04650366749</v>
      </c>
      <c r="E17" s="36">
        <f>SUM(E18:E21)</f>
        <v>30.929095354523231</v>
      </c>
      <c r="F17" s="35">
        <f>SUM(F18:F21)</f>
        <v>211302.34935207825</v>
      </c>
      <c r="G17" s="34">
        <f>G18+G19+G20+G21</f>
        <v>184234.41600000003</v>
      </c>
    </row>
    <row r="18" spans="1:7">
      <c r="A18" s="30"/>
      <c r="B18" s="32" t="s">
        <v>26</v>
      </c>
      <c r="C18" s="33">
        <v>2.58</v>
      </c>
      <c r="D18" s="27">
        <f>C18/C39*D39</f>
        <v>109019.30039119805</v>
      </c>
      <c r="E18" s="27">
        <f>D18/$D$35*100</f>
        <v>15.770171149144256</v>
      </c>
      <c r="F18" s="27">
        <f>C18/C39*F39</f>
        <v>107739.14255501222</v>
      </c>
      <c r="G18" s="58">
        <f>2.33*G11*12</f>
        <v>98455.54800000001</v>
      </c>
    </row>
    <row r="19" spans="1:7">
      <c r="A19" s="30"/>
      <c r="B19" s="32" t="s">
        <v>25</v>
      </c>
      <c r="C19" s="28">
        <v>1.75</v>
      </c>
      <c r="D19" s="27">
        <f>C19/C39*D39</f>
        <v>73947.199877750623</v>
      </c>
      <c r="E19" s="27">
        <f>D19/$D$35*100</f>
        <v>10.696821515892422</v>
      </c>
      <c r="F19" s="27">
        <f>C19/C39*F39</f>
        <v>73078.875764058685</v>
      </c>
      <c r="G19" s="58">
        <f>1.4*G11*12</f>
        <v>59157.84</v>
      </c>
    </row>
    <row r="20" spans="1:7">
      <c r="A20" s="30">
        <v>0</v>
      </c>
      <c r="B20" s="32" t="s">
        <v>24</v>
      </c>
      <c r="C20" s="28">
        <v>0.69</v>
      </c>
      <c r="D20" s="27">
        <f>C20/C39*D39</f>
        <v>29156.324523227388</v>
      </c>
      <c r="E20" s="27">
        <f>D20/$D$35*100</f>
        <v>4.21760391198044</v>
      </c>
      <c r="F20" s="27">
        <f>C20/C39*F39</f>
        <v>28813.956729828849</v>
      </c>
      <c r="G20" s="58">
        <f>0.63*G11*12</f>
        <v>26621.028000000006</v>
      </c>
    </row>
    <row r="21" spans="1:7">
      <c r="A21" s="57"/>
      <c r="B21" s="56" t="s">
        <v>23</v>
      </c>
      <c r="C21" s="55">
        <v>0.04</v>
      </c>
      <c r="D21" s="27">
        <f>C21/C39*D39</f>
        <v>1690.2217114914426</v>
      </c>
      <c r="E21" s="27">
        <f>D21/$D$35*100</f>
        <v>0.24449877750611246</v>
      </c>
      <c r="F21" s="27">
        <f>C21/C39*F39</f>
        <v>1670.3743031784841</v>
      </c>
      <c r="G21" s="54">
        <v>0</v>
      </c>
    </row>
    <row r="22" spans="1:7" ht="19.5">
      <c r="A22" s="53" t="s">
        <v>22</v>
      </c>
      <c r="B22" s="52" t="s">
        <v>21</v>
      </c>
      <c r="C22" s="51"/>
      <c r="D22" s="50"/>
      <c r="E22" s="49"/>
      <c r="F22" s="48"/>
      <c r="G22" s="47"/>
    </row>
    <row r="23" spans="1:7" ht="19.5">
      <c r="A23" s="46"/>
      <c r="B23" s="45" t="s">
        <v>20</v>
      </c>
      <c r="C23" s="44"/>
      <c r="D23" s="43"/>
      <c r="E23" s="42"/>
      <c r="F23" s="41"/>
      <c r="G23" s="40"/>
    </row>
    <row r="24" spans="1:7" ht="19.5">
      <c r="A24" s="39"/>
      <c r="B24" s="38"/>
      <c r="C24" s="37">
        <f>C25+C26</f>
        <v>3.11</v>
      </c>
      <c r="D24" s="36">
        <f>D25+D26</f>
        <v>131414.73806845967</v>
      </c>
      <c r="E24" s="36">
        <f>E25+E26</f>
        <v>19.009779951100246</v>
      </c>
      <c r="F24" s="35">
        <f>F25+F26</f>
        <v>129871.60207212713</v>
      </c>
      <c r="G24" s="34">
        <f>G25+G26</f>
        <v>122483</v>
      </c>
    </row>
    <row r="25" spans="1:7">
      <c r="A25" s="30"/>
      <c r="B25" s="32" t="s">
        <v>19</v>
      </c>
      <c r="C25" s="33">
        <v>2.36</v>
      </c>
      <c r="D25" s="27">
        <f>C25/C39*D39</f>
        <v>99723.080977995123</v>
      </c>
      <c r="E25" s="27">
        <f>D25/$D$35*100</f>
        <v>14.425427872860636</v>
      </c>
      <c r="F25" s="27">
        <f>C25/C39*F39</f>
        <v>98552.083887530564</v>
      </c>
      <c r="G25" s="26">
        <v>60687</v>
      </c>
    </row>
    <row r="26" spans="1:7">
      <c r="A26" s="30"/>
      <c r="B26" s="32" t="s">
        <v>18</v>
      </c>
      <c r="C26" s="28">
        <v>0.75</v>
      </c>
      <c r="D26" s="27">
        <f>C26/C39*D39</f>
        <v>31691.657090464552</v>
      </c>
      <c r="E26" s="27">
        <f>D26/$D$35*100</f>
        <v>4.5843520782396094</v>
      </c>
      <c r="F26" s="27">
        <f>C26/C39*F39</f>
        <v>31319.518184596578</v>
      </c>
      <c r="G26" s="26">
        <v>61796</v>
      </c>
    </row>
    <row r="27" spans="1:7" ht="19.5">
      <c r="A27" s="23" t="s">
        <v>17</v>
      </c>
      <c r="B27" s="22" t="s">
        <v>16</v>
      </c>
      <c r="C27" s="10">
        <f>C28+C29</f>
        <v>1.6400000000000001</v>
      </c>
      <c r="D27" s="21">
        <f>D28+D29</f>
        <v>69299.090171149146</v>
      </c>
      <c r="E27" s="21">
        <f>E28+E29</f>
        <v>10.024449877750612</v>
      </c>
      <c r="F27" s="20">
        <f>F28+F29</f>
        <v>68485.346430317848</v>
      </c>
      <c r="G27" s="19">
        <f>G28+G29</f>
        <v>338733</v>
      </c>
    </row>
    <row r="28" spans="1:7">
      <c r="A28" s="30"/>
      <c r="B28" s="29" t="s">
        <v>15</v>
      </c>
      <c r="C28" s="28">
        <v>0.84</v>
      </c>
      <c r="D28" s="27">
        <f>C28/C39*D39</f>
        <v>35494.655941320299</v>
      </c>
      <c r="E28" s="27">
        <f>D28/$D$35*100</f>
        <v>5.1344743276283626</v>
      </c>
      <c r="F28" s="27">
        <f>C28/C39*F39</f>
        <v>35077.860366748166</v>
      </c>
      <c r="G28" s="26">
        <v>40077</v>
      </c>
    </row>
    <row r="29" spans="1:7">
      <c r="A29" s="30"/>
      <c r="B29" s="29" t="s">
        <v>14</v>
      </c>
      <c r="C29" s="28">
        <v>0.8</v>
      </c>
      <c r="D29" s="27">
        <f>C29/C39*D39</f>
        <v>33804.434229828854</v>
      </c>
      <c r="E29" s="27">
        <f>D29/$D$35*100</f>
        <v>4.8899755501222497</v>
      </c>
      <c r="F29" s="27">
        <f>C29/C39*F39</f>
        <v>33407.486063569682</v>
      </c>
      <c r="G29" s="26">
        <v>298656</v>
      </c>
    </row>
    <row r="30" spans="1:7" ht="19.5">
      <c r="A30" s="23" t="s">
        <v>13</v>
      </c>
      <c r="B30" s="22" t="s">
        <v>12</v>
      </c>
      <c r="C30" s="10">
        <v>1.21</v>
      </c>
      <c r="D30" s="25">
        <f>C30/C39*D39</f>
        <v>51129.206772616133</v>
      </c>
      <c r="E30" s="25">
        <f>D30/$D$35*100</f>
        <v>7.3960880195599019</v>
      </c>
      <c r="F30" s="25">
        <f>C30/C39*F39</f>
        <v>50528.822671149137</v>
      </c>
      <c r="G30" s="19">
        <f>1.29*G11*12</f>
        <v>54509.724000000009</v>
      </c>
    </row>
    <row r="31" spans="1:7" ht="19.5">
      <c r="A31" s="23" t="s">
        <v>11</v>
      </c>
      <c r="B31" s="22" t="s">
        <v>10</v>
      </c>
      <c r="C31" s="10">
        <f>C32+C33</f>
        <v>4.54</v>
      </c>
      <c r="D31" s="21">
        <f>SUM(D32:D33)</f>
        <v>191840.16425427876</v>
      </c>
      <c r="E31" s="21">
        <f>SUM(E32:E33)</f>
        <v>27.750611246943766</v>
      </c>
      <c r="F31" s="20">
        <f>SUM(F32:F33)</f>
        <v>189587.48341075794</v>
      </c>
      <c r="G31" s="19">
        <f>G32+G33</f>
        <v>261562.16399999999</v>
      </c>
    </row>
    <row r="32" spans="1:7" ht="19.5">
      <c r="A32" s="18"/>
      <c r="B32" s="29" t="s">
        <v>59</v>
      </c>
      <c r="C32" s="28">
        <v>1.38</v>
      </c>
      <c r="D32" s="27">
        <f>C32/C39*D39</f>
        <v>58312.649046454775</v>
      </c>
      <c r="E32" s="27">
        <f>D32/$D$35*100</f>
        <v>8.4352078239608801</v>
      </c>
      <c r="F32" s="27">
        <f>C32/C39*F39</f>
        <v>57627.913459657699</v>
      </c>
      <c r="G32" s="31">
        <f>2.26*G11*12</f>
        <v>95497.656000000003</v>
      </c>
    </row>
    <row r="33" spans="1:7">
      <c r="A33" s="30"/>
      <c r="B33" s="29" t="s">
        <v>60</v>
      </c>
      <c r="C33" s="28">
        <v>3.16</v>
      </c>
      <c r="D33" s="27">
        <f>C33/C39*D39</f>
        <v>133527.51520782398</v>
      </c>
      <c r="E33" s="27">
        <f>D33/$D$35*100</f>
        <v>19.315403422982886</v>
      </c>
      <c r="F33" s="27">
        <f>C33/C39*F39</f>
        <v>131959.56995110025</v>
      </c>
      <c r="G33" s="26">
        <f xml:space="preserve"> 3.93*G11*12</f>
        <v>166064.508</v>
      </c>
    </row>
    <row r="34" spans="1:7" ht="19.5">
      <c r="A34" s="23" t="s">
        <v>8</v>
      </c>
      <c r="B34" s="22" t="s">
        <v>7</v>
      </c>
      <c r="C34" s="10">
        <v>0.8</v>
      </c>
      <c r="D34" s="25">
        <f>C34/C39*D39</f>
        <v>33804.434229828854</v>
      </c>
      <c r="E34" s="25">
        <f>D34/$D$35*100</f>
        <v>4.8899755501222497</v>
      </c>
      <c r="F34" s="25">
        <f>C34/C39*F39</f>
        <v>33407.486063569682</v>
      </c>
      <c r="G34" s="19">
        <f xml:space="preserve"> 1.01*G11*12</f>
        <v>42678.156000000003</v>
      </c>
    </row>
    <row r="35" spans="1:7" ht="19.5">
      <c r="A35" s="23"/>
      <c r="B35" s="22" t="s">
        <v>6</v>
      </c>
      <c r="C35" s="10">
        <f>C17+C24+C27+C30+C31+C34</f>
        <v>16.36</v>
      </c>
      <c r="D35" s="21">
        <f>(D17+D24+D27+D30+D31+D34)</f>
        <v>691300.68</v>
      </c>
      <c r="E35" s="24">
        <f>D35/$D$35*100</f>
        <v>100</v>
      </c>
      <c r="F35" s="20">
        <f>F17+F24+F27+F30+F31+F34</f>
        <v>683183.09</v>
      </c>
      <c r="G35" s="19">
        <f>G17+G24+G27+G30+G31+G34</f>
        <v>1004200.46</v>
      </c>
    </row>
    <row r="36" spans="1:7" ht="19.5">
      <c r="A36" s="18"/>
      <c r="B36" s="17"/>
      <c r="C36" s="16"/>
      <c r="D36" s="15"/>
      <c r="E36" s="15">
        <f>D36/$D$35*100</f>
        <v>0</v>
      </c>
      <c r="F36" s="15"/>
      <c r="G36" s="15"/>
    </row>
    <row r="37" spans="1:7" ht="19.5">
      <c r="A37" s="23"/>
      <c r="B37" s="22"/>
      <c r="C37" s="10"/>
      <c r="D37" s="21"/>
      <c r="E37" s="21">
        <f>E35*18/100</f>
        <v>18</v>
      </c>
      <c r="F37" s="20"/>
      <c r="G37" s="19"/>
    </row>
    <row r="38" spans="1:7" ht="19.5">
      <c r="A38" s="18"/>
      <c r="B38" s="17"/>
      <c r="C38" s="16"/>
      <c r="D38" s="15"/>
      <c r="E38" s="15"/>
      <c r="F38" s="14"/>
      <c r="G38" s="13"/>
    </row>
    <row r="39" spans="1:7" ht="20.25" thickBot="1">
      <c r="A39" s="12"/>
      <c r="B39" s="11" t="s">
        <v>5</v>
      </c>
      <c r="C39" s="10">
        <f>C35+C36</f>
        <v>16.36</v>
      </c>
      <c r="D39" s="9">
        <v>691300.68</v>
      </c>
      <c r="E39" s="9">
        <f>E35+E37</f>
        <v>118</v>
      </c>
      <c r="F39" s="8">
        <v>683183.09</v>
      </c>
      <c r="G39" s="7">
        <f>G35+G36</f>
        <v>1004200.46</v>
      </c>
    </row>
    <row r="40" spans="1:7">
      <c r="D40" s="2" t="s">
        <v>4</v>
      </c>
      <c r="F40" s="6">
        <f>F35/D35</f>
        <v>0.98825751191218258</v>
      </c>
    </row>
    <row r="42" spans="1:7" ht="18.75">
      <c r="A42" s="5"/>
      <c r="B42" s="4" t="s">
        <v>53</v>
      </c>
      <c r="C42" s="3">
        <v>161878.57</v>
      </c>
      <c r="D42" s="3" t="s">
        <v>1</v>
      </c>
    </row>
    <row r="43" spans="1:7" ht="18.75">
      <c r="A43" s="5"/>
      <c r="B43" s="4" t="s">
        <v>54</v>
      </c>
      <c r="C43" s="3">
        <f>D39-F39</f>
        <v>8117.5900000000838</v>
      </c>
      <c r="D43" s="3" t="s">
        <v>1</v>
      </c>
    </row>
    <row r="44" spans="1:7" ht="18.75">
      <c r="A44" s="5"/>
      <c r="B44" s="4" t="s">
        <v>2</v>
      </c>
      <c r="C44" s="3">
        <f>C42+C43</f>
        <v>169996.16000000009</v>
      </c>
      <c r="D44" s="3" t="s">
        <v>1</v>
      </c>
    </row>
    <row r="45" spans="1:7" ht="18.75">
      <c r="A45" s="5"/>
      <c r="B45" s="4"/>
      <c r="C45" s="3"/>
      <c r="D45" s="3"/>
      <c r="E45" s="1"/>
      <c r="F45" s="1"/>
      <c r="G45" s="1"/>
    </row>
    <row r="51" spans="2:7">
      <c r="B51" s="1" t="s">
        <v>46</v>
      </c>
      <c r="E51" s="1"/>
      <c r="F51" s="1"/>
      <c r="G51" s="1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topLeftCell="A16" zoomScale="75" zoomScaleNormal="50" workbookViewId="0">
      <selection activeCell="B34" sqref="B34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5"/>
      <c r="B1" s="75"/>
      <c r="C1" s="74"/>
      <c r="D1" s="74"/>
      <c r="E1" s="74"/>
      <c r="F1" s="74"/>
      <c r="G1" s="74"/>
    </row>
    <row r="2" spans="1:7" ht="18.75">
      <c r="A2" s="75"/>
      <c r="B2" s="75"/>
      <c r="C2" s="74"/>
      <c r="D2" s="74"/>
      <c r="E2" s="74"/>
      <c r="F2" s="74"/>
      <c r="G2" s="74"/>
    </row>
    <row r="3" spans="1:7" ht="18.75">
      <c r="A3" s="75"/>
      <c r="B3" s="75"/>
      <c r="C3" s="74"/>
      <c r="D3" s="74"/>
      <c r="E3" s="74"/>
      <c r="F3" s="74"/>
      <c r="G3" s="74"/>
    </row>
    <row r="4" spans="1:7" ht="18.75">
      <c r="A4" s="75"/>
      <c r="B4" s="75"/>
      <c r="C4" s="74"/>
      <c r="D4" s="74"/>
      <c r="E4" s="74"/>
      <c r="F4" s="74"/>
      <c r="G4" s="74"/>
    </row>
    <row r="5" spans="1:7" ht="18.75">
      <c r="A5" s="75"/>
      <c r="B5" s="75"/>
      <c r="C5" s="74"/>
      <c r="D5" s="74"/>
      <c r="E5" s="74"/>
      <c r="F5" s="74"/>
      <c r="G5" s="74"/>
    </row>
    <row r="6" spans="1:7" ht="18.75">
      <c r="A6" s="75"/>
      <c r="B6" s="75"/>
      <c r="C6" s="74"/>
      <c r="D6" s="74"/>
      <c r="E6" s="74"/>
      <c r="F6" s="74"/>
      <c r="G6" s="74"/>
    </row>
    <row r="7" spans="1:7" ht="18.75">
      <c r="A7" s="76" t="s">
        <v>39</v>
      </c>
      <c r="B7" s="76"/>
      <c r="C7" s="76"/>
      <c r="D7" s="76"/>
      <c r="E7" s="76"/>
      <c r="F7" s="76"/>
      <c r="G7" s="76"/>
    </row>
    <row r="8" spans="1:7" ht="18.75">
      <c r="A8" s="76" t="s">
        <v>38</v>
      </c>
      <c r="B8" s="76"/>
      <c r="C8" s="76"/>
      <c r="D8" s="76"/>
      <c r="E8" s="76"/>
      <c r="F8" s="76"/>
      <c r="G8" s="76"/>
    </row>
    <row r="9" spans="1:7" ht="18.75">
      <c r="A9" s="76" t="s">
        <v>52</v>
      </c>
      <c r="B9" s="76"/>
      <c r="C9" s="76"/>
      <c r="D9" s="76"/>
      <c r="E9" s="76"/>
      <c r="F9" s="76"/>
      <c r="G9" s="76"/>
    </row>
    <row r="10" spans="1:7" ht="18.75">
      <c r="A10" s="73"/>
      <c r="B10" s="73"/>
      <c r="C10" s="72"/>
      <c r="D10" s="72"/>
      <c r="E10" s="72"/>
      <c r="F10" s="72"/>
      <c r="G10" s="72"/>
    </row>
    <row r="11" spans="1:7" ht="16.5" thickBot="1">
      <c r="A11" s="70"/>
      <c r="B11" s="71"/>
      <c r="C11" s="70"/>
      <c r="D11" s="70"/>
      <c r="E11" s="70"/>
      <c r="F11" s="70"/>
      <c r="G11" s="70">
        <v>2690.4</v>
      </c>
    </row>
    <row r="12" spans="1:7" ht="16.5" thickBot="1">
      <c r="A12" s="80" t="s">
        <v>37</v>
      </c>
      <c r="B12" s="82" t="s">
        <v>36</v>
      </c>
      <c r="C12" s="77" t="s">
        <v>35</v>
      </c>
      <c r="D12" s="78"/>
      <c r="E12" s="78"/>
      <c r="F12" s="79"/>
      <c r="G12" s="84" t="s">
        <v>34</v>
      </c>
    </row>
    <row r="13" spans="1:7">
      <c r="A13" s="81"/>
      <c r="B13" s="83"/>
      <c r="C13" s="69" t="s">
        <v>33</v>
      </c>
      <c r="D13" s="68" t="s">
        <v>32</v>
      </c>
      <c r="E13" s="67"/>
      <c r="F13" s="66" t="s">
        <v>31</v>
      </c>
      <c r="G13" s="85"/>
    </row>
    <row r="14" spans="1:7">
      <c r="A14" s="65"/>
      <c r="B14" s="64"/>
      <c r="C14" s="63"/>
      <c r="D14" s="62"/>
      <c r="E14" s="61"/>
      <c r="F14" s="60"/>
      <c r="G14" s="59"/>
    </row>
    <row r="15" spans="1:7" ht="19.5">
      <c r="A15" s="53" t="s">
        <v>30</v>
      </c>
      <c r="B15" s="52" t="s">
        <v>29</v>
      </c>
      <c r="C15" s="51"/>
      <c r="D15" s="50"/>
      <c r="E15" s="49"/>
      <c r="F15" s="48"/>
      <c r="G15" s="47"/>
    </row>
    <row r="16" spans="1:7" ht="19.5">
      <c r="A16" s="46"/>
      <c r="B16" s="45" t="s">
        <v>28</v>
      </c>
      <c r="C16" s="44"/>
      <c r="D16" s="43"/>
      <c r="E16" s="42"/>
      <c r="F16" s="41"/>
      <c r="G16" s="40"/>
    </row>
    <row r="17" spans="1:7" ht="19.5">
      <c r="A17" s="39"/>
      <c r="B17" s="38" t="s">
        <v>27</v>
      </c>
      <c r="C17" s="37">
        <f>C18+C19+C20+C21</f>
        <v>5.0599999999999996</v>
      </c>
      <c r="D17" s="36">
        <f>SUM(D18:D21)</f>
        <v>163361.48141809294</v>
      </c>
      <c r="E17" s="36">
        <f>SUM(E18:E21)</f>
        <v>30.929095354523231</v>
      </c>
      <c r="F17" s="35">
        <f>SUM(F18:F21)</f>
        <v>152573.80575794622</v>
      </c>
      <c r="G17" s="34">
        <f>G18+G19+G20+G21</f>
        <v>146572.992</v>
      </c>
    </row>
    <row r="18" spans="1:7">
      <c r="A18" s="30"/>
      <c r="B18" s="32" t="s">
        <v>26</v>
      </c>
      <c r="C18" s="33">
        <v>2.58</v>
      </c>
      <c r="D18" s="27">
        <f>C18/C39*D39</f>
        <v>83294.984596577022</v>
      </c>
      <c r="E18" s="27">
        <f>D18/$D$35*100</f>
        <v>15.770171149144256</v>
      </c>
      <c r="F18" s="27">
        <f>C18/C39*F39</f>
        <v>77794.549180929098</v>
      </c>
      <c r="G18" s="58">
        <f>2.33*G11*12</f>
        <v>75223.584000000003</v>
      </c>
    </row>
    <row r="19" spans="1:7">
      <c r="A19" s="30"/>
      <c r="B19" s="32" t="s">
        <v>25</v>
      </c>
      <c r="C19" s="28">
        <v>1.75</v>
      </c>
      <c r="D19" s="27">
        <f>C19/C39*D39</f>
        <v>56498.536063569685</v>
      </c>
      <c r="E19" s="27">
        <f>D19/$D$35*100</f>
        <v>10.696821515892422</v>
      </c>
      <c r="F19" s="27">
        <f>C19/C39*F39</f>
        <v>52767.620568459664</v>
      </c>
      <c r="G19" s="58">
        <f>1.44*G11*12</f>
        <v>46490.112000000001</v>
      </c>
    </row>
    <row r="20" spans="1:7">
      <c r="A20" s="30">
        <v>0</v>
      </c>
      <c r="B20" s="32" t="s">
        <v>24</v>
      </c>
      <c r="C20" s="28">
        <v>0.69</v>
      </c>
      <c r="D20" s="27">
        <f>C20/C39*D39</f>
        <v>22276.565647921758</v>
      </c>
      <c r="E20" s="27">
        <f>D20/$D$35*100</f>
        <v>4.21760391198044</v>
      </c>
      <c r="F20" s="27">
        <f>C20/C39*F39</f>
        <v>20805.518966992666</v>
      </c>
      <c r="G20" s="58">
        <f>0.77*G11*12</f>
        <v>24859.296000000002</v>
      </c>
    </row>
    <row r="21" spans="1:7">
      <c r="A21" s="57"/>
      <c r="B21" s="56" t="s">
        <v>23</v>
      </c>
      <c r="C21" s="55">
        <v>0.04</v>
      </c>
      <c r="D21" s="27">
        <f>C21/C39*D39</f>
        <v>1291.3951100244499</v>
      </c>
      <c r="E21" s="27">
        <f>D21/$D$35*100</f>
        <v>0.24449877750611246</v>
      </c>
      <c r="F21" s="27">
        <f>C21/C39*F39</f>
        <v>1206.1170415647921</v>
      </c>
      <c r="G21" s="54">
        <v>0</v>
      </c>
    </row>
    <row r="22" spans="1:7" ht="19.5">
      <c r="A22" s="53" t="s">
        <v>22</v>
      </c>
      <c r="B22" s="52" t="s">
        <v>21</v>
      </c>
      <c r="C22" s="51"/>
      <c r="D22" s="50"/>
      <c r="E22" s="49"/>
      <c r="F22" s="48"/>
      <c r="G22" s="47"/>
    </row>
    <row r="23" spans="1:7" ht="19.5">
      <c r="A23" s="46"/>
      <c r="B23" s="45" t="s">
        <v>20</v>
      </c>
      <c r="C23" s="44"/>
      <c r="D23" s="43"/>
      <c r="E23" s="42"/>
      <c r="F23" s="41"/>
      <c r="G23" s="40"/>
    </row>
    <row r="24" spans="1:7" ht="19.5">
      <c r="A24" s="39"/>
      <c r="B24" s="38"/>
      <c r="C24" s="37">
        <f>C25+C26</f>
        <v>3.11</v>
      </c>
      <c r="D24" s="36">
        <f>D25+D26</f>
        <v>100405.96980440097</v>
      </c>
      <c r="E24" s="36">
        <f>E25+E26</f>
        <v>19.009779951100246</v>
      </c>
      <c r="F24" s="35">
        <f>F25+F26</f>
        <v>93775.599981662584</v>
      </c>
      <c r="G24" s="34">
        <f>G25+G26</f>
        <v>63876</v>
      </c>
    </row>
    <row r="25" spans="1:7">
      <c r="A25" s="30"/>
      <c r="B25" s="32" t="s">
        <v>19</v>
      </c>
      <c r="C25" s="33">
        <v>2.36</v>
      </c>
      <c r="D25" s="27">
        <f>C25/C39*D39</f>
        <v>76192.311491442539</v>
      </c>
      <c r="E25" s="27">
        <f>D25/$D$35*100</f>
        <v>14.425427872860636</v>
      </c>
      <c r="F25" s="27">
        <f>C25/C39*F39</f>
        <v>71160.905452322739</v>
      </c>
      <c r="G25" s="26">
        <v>44086</v>
      </c>
    </row>
    <row r="26" spans="1:7">
      <c r="A26" s="30"/>
      <c r="B26" s="32" t="s">
        <v>18</v>
      </c>
      <c r="C26" s="28">
        <v>0.75</v>
      </c>
      <c r="D26" s="27">
        <f>C26/C39*D39</f>
        <v>24213.658312958436</v>
      </c>
      <c r="E26" s="27">
        <f>D26/$D$35*100</f>
        <v>4.5843520782396094</v>
      </c>
      <c r="F26" s="27">
        <f>C26/C39*F39</f>
        <v>22614.694529339853</v>
      </c>
      <c r="G26" s="26">
        <v>19790</v>
      </c>
    </row>
    <row r="27" spans="1:7" ht="19.5">
      <c r="A27" s="23" t="s">
        <v>17</v>
      </c>
      <c r="B27" s="22" t="s">
        <v>16</v>
      </c>
      <c r="C27" s="10">
        <f>C28+C29</f>
        <v>1.6400000000000001</v>
      </c>
      <c r="D27" s="21">
        <f>D28+D29</f>
        <v>52947.199511002444</v>
      </c>
      <c r="E27" s="21">
        <f>E28+E29</f>
        <v>10.024449877750612</v>
      </c>
      <c r="F27" s="20">
        <f>F28+F29</f>
        <v>49450.798704156477</v>
      </c>
      <c r="G27" s="19">
        <f>G28+G29</f>
        <v>6187</v>
      </c>
    </row>
    <row r="28" spans="1:7">
      <c r="A28" s="30"/>
      <c r="B28" s="29" t="s">
        <v>15</v>
      </c>
      <c r="C28" s="28">
        <v>0.84</v>
      </c>
      <c r="D28" s="27">
        <f>C28/C39*D39</f>
        <v>27119.297310513448</v>
      </c>
      <c r="E28" s="27">
        <f>D28/$D$35*100</f>
        <v>5.1344743276283618</v>
      </c>
      <c r="F28" s="27">
        <f>C28/C39*F39</f>
        <v>25328.457872860636</v>
      </c>
      <c r="G28" s="26">
        <v>6187</v>
      </c>
    </row>
    <row r="29" spans="1:7">
      <c r="A29" s="30"/>
      <c r="B29" s="29" t="s">
        <v>14</v>
      </c>
      <c r="C29" s="28">
        <v>0.8</v>
      </c>
      <c r="D29" s="27">
        <f>C29/C39*D39</f>
        <v>25827.902200488999</v>
      </c>
      <c r="E29" s="27">
        <f>D29/$D$35*100</f>
        <v>4.8899755501222497</v>
      </c>
      <c r="F29" s="27">
        <f>C29/C39*F39</f>
        <v>24122.340831295845</v>
      </c>
      <c r="G29" s="26">
        <v>0</v>
      </c>
    </row>
    <row r="30" spans="1:7" ht="19.5">
      <c r="A30" s="23" t="s">
        <v>13</v>
      </c>
      <c r="B30" s="22" t="s">
        <v>12</v>
      </c>
      <c r="C30" s="10">
        <v>1.21</v>
      </c>
      <c r="D30" s="25">
        <f>C30/C39*D39</f>
        <v>39064.702078239607</v>
      </c>
      <c r="E30" s="25">
        <f>D30/$D$35*100</f>
        <v>7.3960880195599019</v>
      </c>
      <c r="F30" s="25">
        <f>C30/C39*F39</f>
        <v>36485.040507334961</v>
      </c>
      <c r="G30" s="19">
        <f>1.29*G11*12</f>
        <v>41647.392</v>
      </c>
    </row>
    <row r="31" spans="1:7" ht="19.5">
      <c r="A31" s="23" t="s">
        <v>11</v>
      </c>
      <c r="B31" s="22" t="s">
        <v>10</v>
      </c>
      <c r="C31" s="10">
        <f>C32+C33</f>
        <v>4.54</v>
      </c>
      <c r="D31" s="21">
        <f>SUM(D32:D33)</f>
        <v>146573.34498777505</v>
      </c>
      <c r="E31" s="21">
        <f>SUM(E32:E33)</f>
        <v>27.750611246943766</v>
      </c>
      <c r="F31" s="20">
        <f>SUM(F32:F33)</f>
        <v>136894.28421760391</v>
      </c>
      <c r="G31" s="19">
        <f>G32+G33</f>
        <v>199842.91200000001</v>
      </c>
    </row>
    <row r="32" spans="1:7" ht="19.5">
      <c r="A32" s="18"/>
      <c r="B32" s="29" t="s">
        <v>56</v>
      </c>
      <c r="C32" s="28">
        <v>1.38</v>
      </c>
      <c r="D32" s="27">
        <f>C32/C39*D39</f>
        <v>44553.131295843516</v>
      </c>
      <c r="E32" s="27">
        <f>D32/$D$35*100</f>
        <v>8.4352078239608801</v>
      </c>
      <c r="F32" s="27">
        <f>C32/C39*F39</f>
        <v>41611.037933985332</v>
      </c>
      <c r="G32" s="31">
        <f>2.26*G11*12</f>
        <v>72963.647999999986</v>
      </c>
    </row>
    <row r="33" spans="1:7">
      <c r="A33" s="30"/>
      <c r="B33" s="29" t="s">
        <v>61</v>
      </c>
      <c r="C33" s="28">
        <v>3.16</v>
      </c>
      <c r="D33" s="27">
        <f>C33/C39*D39</f>
        <v>102020.21369193154</v>
      </c>
      <c r="E33" s="27">
        <f>D33/$D$35*100</f>
        <v>19.315403422982886</v>
      </c>
      <c r="F33" s="27">
        <f>C33/C39*F39</f>
        <v>95283.246283618588</v>
      </c>
      <c r="G33" s="26">
        <f xml:space="preserve"> 3.93*G11*12</f>
        <v>126879.26400000001</v>
      </c>
    </row>
    <row r="34" spans="1:7" ht="19.5">
      <c r="A34" s="23" t="s">
        <v>8</v>
      </c>
      <c r="B34" s="22" t="s">
        <v>7</v>
      </c>
      <c r="C34" s="10">
        <v>0.8</v>
      </c>
      <c r="D34" s="25">
        <f>C34/C39*D39</f>
        <v>25827.902200488999</v>
      </c>
      <c r="E34" s="25">
        <f>D34/$D$35*100</f>
        <v>4.8899755501222497</v>
      </c>
      <c r="F34" s="25">
        <f>C34/C39*F39</f>
        <v>24122.340831295845</v>
      </c>
      <c r="G34" s="19">
        <f xml:space="preserve"> 1.01*G11*12</f>
        <v>32607.648000000001</v>
      </c>
    </row>
    <row r="35" spans="1:7" ht="19.5">
      <c r="A35" s="23"/>
      <c r="B35" s="22" t="s">
        <v>6</v>
      </c>
      <c r="C35" s="10">
        <f>C17+C24+C27+C30+C31+C34</f>
        <v>16.36</v>
      </c>
      <c r="D35" s="21">
        <f>(D17+D24+D27+D30+D31+D34)</f>
        <v>528180.6</v>
      </c>
      <c r="E35" s="24">
        <f>D35/$D$35*100</f>
        <v>100</v>
      </c>
      <c r="F35" s="20">
        <f>F17+F24+F27+F30+F31+F34</f>
        <v>493301.87</v>
      </c>
      <c r="G35" s="19">
        <f>G17+G24+G27+G30+G31+G34</f>
        <v>490733.94399999996</v>
      </c>
    </row>
    <row r="36" spans="1:7" ht="19.5">
      <c r="A36" s="18"/>
      <c r="B36" s="17"/>
      <c r="C36" s="16"/>
      <c r="D36" s="15"/>
      <c r="E36" s="15">
        <f>D36/$D$35*100</f>
        <v>0</v>
      </c>
      <c r="F36" s="15"/>
      <c r="G36" s="15"/>
    </row>
    <row r="37" spans="1:7" ht="19.5">
      <c r="A37" s="23"/>
      <c r="B37" s="22"/>
      <c r="C37" s="10"/>
      <c r="D37" s="21"/>
      <c r="E37" s="21">
        <f>E35*18/100</f>
        <v>18</v>
      </c>
      <c r="F37" s="20"/>
      <c r="G37" s="19"/>
    </row>
    <row r="38" spans="1:7" ht="19.5">
      <c r="A38" s="18"/>
      <c r="B38" s="17"/>
      <c r="C38" s="16"/>
      <c r="D38" s="15"/>
      <c r="E38" s="15"/>
      <c r="F38" s="14"/>
      <c r="G38" s="13"/>
    </row>
    <row r="39" spans="1:7" ht="20.25" thickBot="1">
      <c r="A39" s="12"/>
      <c r="B39" s="11" t="s">
        <v>5</v>
      </c>
      <c r="C39" s="10">
        <f>C35+C36</f>
        <v>16.36</v>
      </c>
      <c r="D39" s="9">
        <v>528180.6</v>
      </c>
      <c r="E39" s="9">
        <f>E35+E37</f>
        <v>118</v>
      </c>
      <c r="F39" s="8">
        <v>493301.87</v>
      </c>
      <c r="G39" s="7">
        <f>G35+G36</f>
        <v>490733.94399999996</v>
      </c>
    </row>
    <row r="40" spans="1:7">
      <c r="D40" s="2" t="s">
        <v>4</v>
      </c>
      <c r="F40" s="6">
        <f>F39/D39</f>
        <v>0.93396438642388613</v>
      </c>
    </row>
    <row r="41" spans="1:7">
      <c r="C41" s="2" t="s">
        <v>3</v>
      </c>
      <c r="G41" s="2">
        <f>F39-G39</f>
        <v>2567.9260000000359</v>
      </c>
    </row>
    <row r="42" spans="1:7" ht="18.75">
      <c r="A42" s="5"/>
      <c r="B42" s="4" t="s">
        <v>53</v>
      </c>
      <c r="C42" s="3">
        <v>174098.17</v>
      </c>
      <c r="D42" s="3" t="s">
        <v>1</v>
      </c>
    </row>
    <row r="43" spans="1:7" ht="18.75">
      <c r="A43" s="5"/>
      <c r="B43" s="4" t="s">
        <v>54</v>
      </c>
      <c r="C43" s="3">
        <f>D39-F39</f>
        <v>34878.729999999981</v>
      </c>
      <c r="D43" s="3" t="s">
        <v>1</v>
      </c>
    </row>
    <row r="44" spans="1:7" ht="18.75">
      <c r="A44" s="5"/>
      <c r="B44" s="4" t="s">
        <v>2</v>
      </c>
      <c r="C44" s="3">
        <f>C42+C43</f>
        <v>208976.9</v>
      </c>
      <c r="D44" s="3" t="s">
        <v>1</v>
      </c>
    </row>
    <row r="45" spans="1:7" ht="18.75">
      <c r="A45" s="5"/>
      <c r="B45" s="4"/>
      <c r="C45" s="3"/>
      <c r="D45" s="3"/>
      <c r="E45" s="1"/>
      <c r="F45" s="1"/>
      <c r="G45" s="1"/>
    </row>
    <row r="50" spans="2:7">
      <c r="B50" s="1" t="s">
        <v>0</v>
      </c>
      <c r="E50" s="1"/>
      <c r="F50" s="1"/>
      <c r="G50" s="1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0"/>
  <sheetViews>
    <sheetView topLeftCell="A16" zoomScale="75" zoomScaleNormal="50" workbookViewId="0">
      <selection activeCell="G46" sqref="G46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5"/>
      <c r="B1" s="75"/>
      <c r="C1" s="74"/>
      <c r="D1" s="74"/>
      <c r="E1" s="74"/>
      <c r="F1" s="74"/>
      <c r="G1" s="74"/>
    </row>
    <row r="2" spans="1:7" ht="18.75">
      <c r="A2" s="75"/>
      <c r="B2" s="75"/>
      <c r="C2" s="74"/>
      <c r="D2" s="74"/>
      <c r="E2" s="74"/>
      <c r="F2" s="74"/>
      <c r="G2" s="74"/>
    </row>
    <row r="3" spans="1:7" ht="18.75">
      <c r="A3" s="75"/>
      <c r="B3" s="75"/>
      <c r="C3" s="74"/>
      <c r="D3" s="74"/>
      <c r="E3" s="74"/>
      <c r="F3" s="74"/>
      <c r="G3" s="74"/>
    </row>
    <row r="4" spans="1:7" ht="18.75">
      <c r="A4" s="75"/>
      <c r="B4" s="75"/>
      <c r="C4" s="74"/>
      <c r="D4" s="74"/>
      <c r="E4" s="74"/>
      <c r="F4" s="74"/>
      <c r="G4" s="74"/>
    </row>
    <row r="5" spans="1:7" ht="18.75">
      <c r="A5" s="75"/>
      <c r="B5" s="75"/>
      <c r="C5" s="74"/>
      <c r="D5" s="74"/>
      <c r="E5" s="74"/>
      <c r="F5" s="74"/>
      <c r="G5" s="74"/>
    </row>
    <row r="6" spans="1:7" ht="18.75">
      <c r="A6" s="75"/>
      <c r="B6" s="75"/>
      <c r="C6" s="74"/>
      <c r="D6" s="74"/>
      <c r="E6" s="74"/>
      <c r="F6" s="74"/>
      <c r="G6" s="74"/>
    </row>
    <row r="7" spans="1:7" ht="18.75">
      <c r="A7" s="76" t="s">
        <v>39</v>
      </c>
      <c r="B7" s="76"/>
      <c r="C7" s="76"/>
      <c r="D7" s="76"/>
      <c r="E7" s="76"/>
      <c r="F7" s="76"/>
      <c r="G7" s="76"/>
    </row>
    <row r="8" spans="1:7" ht="18.75">
      <c r="A8" s="76" t="s">
        <v>40</v>
      </c>
      <c r="B8" s="76"/>
      <c r="C8" s="76"/>
      <c r="D8" s="76"/>
      <c r="E8" s="76"/>
      <c r="F8" s="76"/>
      <c r="G8" s="76"/>
    </row>
    <row r="9" spans="1:7" ht="18.75">
      <c r="A9" s="76" t="s">
        <v>52</v>
      </c>
      <c r="B9" s="76"/>
      <c r="C9" s="76"/>
      <c r="D9" s="76"/>
      <c r="E9" s="76"/>
      <c r="F9" s="76"/>
      <c r="G9" s="76"/>
    </row>
    <row r="10" spans="1:7" ht="18.75">
      <c r="A10" s="73"/>
      <c r="B10" s="73"/>
      <c r="C10" s="72"/>
      <c r="D10" s="72"/>
      <c r="E10" s="72"/>
      <c r="F10" s="72"/>
      <c r="G10" s="72"/>
    </row>
    <row r="11" spans="1:7" ht="16.5" thickBot="1">
      <c r="A11" s="70"/>
      <c r="B11" s="71"/>
      <c r="C11" s="70"/>
      <c r="D11" s="70"/>
      <c r="E11" s="70"/>
      <c r="F11" s="70"/>
      <c r="G11" s="70">
        <v>3055.6</v>
      </c>
    </row>
    <row r="12" spans="1:7" ht="16.5" thickBot="1">
      <c r="A12" s="80" t="s">
        <v>37</v>
      </c>
      <c r="B12" s="82" t="s">
        <v>36</v>
      </c>
      <c r="C12" s="77" t="s">
        <v>35</v>
      </c>
      <c r="D12" s="78"/>
      <c r="E12" s="78"/>
      <c r="F12" s="79"/>
      <c r="G12" s="84" t="s">
        <v>34</v>
      </c>
    </row>
    <row r="13" spans="1:7">
      <c r="A13" s="81"/>
      <c r="B13" s="83"/>
      <c r="C13" s="69" t="s">
        <v>33</v>
      </c>
      <c r="D13" s="68" t="s">
        <v>32</v>
      </c>
      <c r="E13" s="67"/>
      <c r="F13" s="66" t="s">
        <v>31</v>
      </c>
      <c r="G13" s="85"/>
    </row>
    <row r="14" spans="1:7">
      <c r="A14" s="65"/>
      <c r="B14" s="64"/>
      <c r="C14" s="63"/>
      <c r="D14" s="62"/>
      <c r="E14" s="61"/>
      <c r="F14" s="60"/>
      <c r="G14" s="59"/>
    </row>
    <row r="15" spans="1:7" ht="19.5">
      <c r="A15" s="53" t="s">
        <v>30</v>
      </c>
      <c r="B15" s="52" t="s">
        <v>29</v>
      </c>
      <c r="C15" s="51"/>
      <c r="D15" s="50"/>
      <c r="E15" s="49"/>
      <c r="F15" s="48"/>
      <c r="G15" s="47"/>
    </row>
    <row r="16" spans="1:7" ht="19.5">
      <c r="A16" s="46"/>
      <c r="B16" s="45" t="s">
        <v>28</v>
      </c>
      <c r="C16" s="44"/>
      <c r="D16" s="43"/>
      <c r="E16" s="42"/>
      <c r="F16" s="41"/>
      <c r="G16" s="40"/>
    </row>
    <row r="17" spans="1:7" ht="19.5">
      <c r="A17" s="39"/>
      <c r="B17" s="38" t="s">
        <v>27</v>
      </c>
      <c r="C17" s="37">
        <f>C18+C19+C20+C21</f>
        <v>5.0599999999999996</v>
      </c>
      <c r="D17" s="36">
        <f>SUM(D18:D21)</f>
        <v>185535.74992665037</v>
      </c>
      <c r="E17" s="36">
        <f>SUM(E18:E21)</f>
        <v>30.929095354523231</v>
      </c>
      <c r="F17" s="35">
        <f>SUM(F18:F21)</f>
        <v>178574.47966992666</v>
      </c>
      <c r="G17" s="34">
        <f>G18+G19+G20+G21</f>
        <v>159868.992</v>
      </c>
    </row>
    <row r="18" spans="1:7">
      <c r="A18" s="30"/>
      <c r="B18" s="32" t="s">
        <v>26</v>
      </c>
      <c r="C18" s="33">
        <v>2.58</v>
      </c>
      <c r="D18" s="27">
        <f>C18/C39*D39</f>
        <v>94601.232176039121</v>
      </c>
      <c r="E18" s="27">
        <f>D18/$D$35*100</f>
        <v>15.770171149144257</v>
      </c>
      <c r="F18" s="27">
        <f>C18/C39*F39</f>
        <v>91051.809792176049</v>
      </c>
      <c r="G18" s="58">
        <f>2.33*G11*12</f>
        <v>85434.576000000001</v>
      </c>
    </row>
    <row r="19" spans="1:7">
      <c r="A19" s="30"/>
      <c r="B19" s="32" t="s">
        <v>25</v>
      </c>
      <c r="C19" s="28">
        <v>1.75</v>
      </c>
      <c r="D19" s="27">
        <f>C19/C39*D39</f>
        <v>64167.502444987775</v>
      </c>
      <c r="E19" s="27">
        <f>D19/$D$35*100</f>
        <v>10.696821515892422</v>
      </c>
      <c r="F19" s="27">
        <f>C19/C39*F39</f>
        <v>61759.948502444997</v>
      </c>
      <c r="G19" s="58">
        <f>1.4*G11*12</f>
        <v>51334.079999999987</v>
      </c>
    </row>
    <row r="20" spans="1:7">
      <c r="A20" s="30">
        <v>0</v>
      </c>
      <c r="B20" s="32" t="s">
        <v>24</v>
      </c>
      <c r="C20" s="28">
        <v>0.69</v>
      </c>
      <c r="D20" s="27">
        <f>C20/C39*D39</f>
        <v>25300.329535452322</v>
      </c>
      <c r="E20" s="27">
        <f>D20/$D$35*100</f>
        <v>4.2176039119804409</v>
      </c>
      <c r="F20" s="27">
        <f>C20/C39*F39</f>
        <v>24351.065409535455</v>
      </c>
      <c r="G20" s="58">
        <f>0.63*G11*12</f>
        <v>23100.335999999999</v>
      </c>
    </row>
    <row r="21" spans="1:7">
      <c r="A21" s="57"/>
      <c r="B21" s="56" t="s">
        <v>23</v>
      </c>
      <c r="C21" s="55">
        <v>0.04</v>
      </c>
      <c r="D21" s="27">
        <f>C21/C39*D39</f>
        <v>1466.685770171149</v>
      </c>
      <c r="E21" s="27">
        <f>D21/$D$35*100</f>
        <v>0.24449877750611251</v>
      </c>
      <c r="F21" s="27">
        <f>C21/C39*F39</f>
        <v>1411.6559657701712</v>
      </c>
      <c r="G21" s="54">
        <v>0</v>
      </c>
    </row>
    <row r="22" spans="1:7" ht="19.5">
      <c r="A22" s="53" t="s">
        <v>22</v>
      </c>
      <c r="B22" s="52" t="s">
        <v>21</v>
      </c>
      <c r="C22" s="51"/>
      <c r="D22" s="50"/>
      <c r="E22" s="49"/>
      <c r="F22" s="48"/>
      <c r="G22" s="47"/>
    </row>
    <row r="23" spans="1:7" ht="19.5">
      <c r="A23" s="46"/>
      <c r="B23" s="45" t="s">
        <v>20</v>
      </c>
      <c r="C23" s="44"/>
      <c r="D23" s="43"/>
      <c r="E23" s="42"/>
      <c r="F23" s="41"/>
      <c r="G23" s="40"/>
    </row>
    <row r="24" spans="1:7" ht="19.5">
      <c r="A24" s="39"/>
      <c r="B24" s="38"/>
      <c r="C24" s="37">
        <f>C25+C26</f>
        <v>3.11</v>
      </c>
      <c r="D24" s="36">
        <f>D25+D26</f>
        <v>114034.81863080684</v>
      </c>
      <c r="E24" s="36">
        <f>E25+E26</f>
        <v>19.009779951100249</v>
      </c>
      <c r="F24" s="35">
        <f>F25+F26</f>
        <v>109756.25133863083</v>
      </c>
      <c r="G24" s="34">
        <f>G25+G26</f>
        <v>99336.1</v>
      </c>
    </row>
    <row r="25" spans="1:7">
      <c r="A25" s="30"/>
      <c r="B25" s="32" t="s">
        <v>19</v>
      </c>
      <c r="C25" s="33">
        <v>2.36</v>
      </c>
      <c r="D25" s="27">
        <f>C25/C39*D39</f>
        <v>86534.460440097799</v>
      </c>
      <c r="E25" s="27">
        <f>D25/$D$35*100</f>
        <v>14.425427872860638</v>
      </c>
      <c r="F25" s="27">
        <f>C25/C39*F39</f>
        <v>83287.701980440106</v>
      </c>
      <c r="G25" s="26">
        <v>59609</v>
      </c>
    </row>
    <row r="26" spans="1:7">
      <c r="A26" s="30"/>
      <c r="B26" s="32" t="s">
        <v>18</v>
      </c>
      <c r="C26" s="28">
        <v>0.75</v>
      </c>
      <c r="D26" s="27">
        <f>C26/C39*D39</f>
        <v>27500.358190709048</v>
      </c>
      <c r="E26" s="27">
        <f>D26/$D$35*100</f>
        <v>4.5843520782396103</v>
      </c>
      <c r="F26" s="27">
        <f>C26/C39*F39</f>
        <v>26468.549358190714</v>
      </c>
      <c r="G26" s="26">
        <f>56753-G29</f>
        <v>39727.1</v>
      </c>
    </row>
    <row r="27" spans="1:7" ht="19.5">
      <c r="A27" s="23" t="s">
        <v>17</v>
      </c>
      <c r="B27" s="22" t="s">
        <v>16</v>
      </c>
      <c r="C27" s="10">
        <f>C28+C29</f>
        <v>1.6400000000000001</v>
      </c>
      <c r="D27" s="21">
        <f>D28+D29</f>
        <v>60134.116577017114</v>
      </c>
      <c r="E27" s="21">
        <f>E28+E29</f>
        <v>10.024449877750612</v>
      </c>
      <c r="F27" s="20">
        <f>F28+F29</f>
        <v>57877.894596577025</v>
      </c>
      <c r="G27" s="19">
        <v>17025.900000000001</v>
      </c>
    </row>
    <row r="28" spans="1:7">
      <c r="A28" s="30"/>
      <c r="B28" s="29" t="s">
        <v>15</v>
      </c>
      <c r="C28" s="28">
        <v>0.84</v>
      </c>
      <c r="D28" s="27">
        <f>C28/C39*D39</f>
        <v>30800.401173594131</v>
      </c>
      <c r="E28" s="27">
        <f>D28/$D$35*100</f>
        <v>5.1344743276283626</v>
      </c>
      <c r="F28" s="27">
        <f>C28/C39*F39</f>
        <v>29644.775281173595</v>
      </c>
      <c r="G28" s="26">
        <v>840</v>
      </c>
    </row>
    <row r="29" spans="1:7">
      <c r="A29" s="30"/>
      <c r="B29" s="29" t="s">
        <v>14</v>
      </c>
      <c r="C29" s="28">
        <v>0.8</v>
      </c>
      <c r="D29" s="27">
        <f>C29/C39*D39</f>
        <v>29333.715403422982</v>
      </c>
      <c r="E29" s="27">
        <f>D29/$D$35*100</f>
        <v>4.8899755501222506</v>
      </c>
      <c r="F29" s="27">
        <f>C29/C39*F39</f>
        <v>28233.119315403426</v>
      </c>
      <c r="G29" s="26">
        <v>17025.900000000001</v>
      </c>
    </row>
    <row r="30" spans="1:7" ht="19.5">
      <c r="A30" s="23" t="s">
        <v>13</v>
      </c>
      <c r="B30" s="22" t="s">
        <v>12</v>
      </c>
      <c r="C30" s="10">
        <v>1.21</v>
      </c>
      <c r="D30" s="25">
        <f>C30/C39*D39</f>
        <v>44367.244547677255</v>
      </c>
      <c r="E30" s="25">
        <f>D30/$D$35*100</f>
        <v>7.3960880195599028</v>
      </c>
      <c r="F30" s="25">
        <f>C30/C39*F39</f>
        <v>42702.592964547679</v>
      </c>
      <c r="G30" s="19">
        <f>1.29*G11*12</f>
        <v>47300.688000000002</v>
      </c>
    </row>
    <row r="31" spans="1:7" ht="19.5">
      <c r="A31" s="23" t="s">
        <v>11</v>
      </c>
      <c r="B31" s="22" t="s">
        <v>10</v>
      </c>
      <c r="C31" s="10">
        <f>C32+C33</f>
        <v>4.54</v>
      </c>
      <c r="D31" s="21">
        <f>SUM(D32:D33)</f>
        <v>166468.83491442542</v>
      </c>
      <c r="E31" s="21">
        <f>SUM(E32:E33)</f>
        <v>27.75061124694377</v>
      </c>
      <c r="F31" s="20">
        <f>SUM(F32:F33)</f>
        <v>160222.95211491443</v>
      </c>
      <c r="G31" s="19">
        <f>G32+G33</f>
        <v>226969.96799999999</v>
      </c>
    </row>
    <row r="32" spans="1:7" ht="19.5">
      <c r="A32" s="18"/>
      <c r="B32" s="29" t="s">
        <v>62</v>
      </c>
      <c r="C32" s="28">
        <v>1.38</v>
      </c>
      <c r="D32" s="27">
        <f>C32/C39*D39</f>
        <v>50600.659070904643</v>
      </c>
      <c r="E32" s="27">
        <f>D32/$D$35*100</f>
        <v>8.4352078239608819</v>
      </c>
      <c r="F32" s="27">
        <f>C32/C39*F39</f>
        <v>48702.13081907091</v>
      </c>
      <c r="G32" s="31">
        <f>2.26*G11*12</f>
        <v>82867.871999999988</v>
      </c>
    </row>
    <row r="33" spans="1:7">
      <c r="A33" s="30"/>
      <c r="B33" s="29" t="s">
        <v>63</v>
      </c>
      <c r="C33" s="28">
        <v>3.16</v>
      </c>
      <c r="D33" s="27">
        <f>C33/C39*D39</f>
        <v>115868.17584352077</v>
      </c>
      <c r="E33" s="27">
        <f>D33/$D$35*100</f>
        <v>19.315403422982889</v>
      </c>
      <c r="F33" s="27">
        <f>C33/C39*F39</f>
        <v>111520.82129584353</v>
      </c>
      <c r="G33" s="26">
        <f xml:space="preserve"> 3.93*G11*12</f>
        <v>144102.09599999999</v>
      </c>
    </row>
    <row r="34" spans="1:7" ht="19.5">
      <c r="A34" s="23" t="s">
        <v>8</v>
      </c>
      <c r="B34" s="22" t="s">
        <v>7</v>
      </c>
      <c r="C34" s="10">
        <v>0.8</v>
      </c>
      <c r="D34" s="25">
        <f>C34/C39*D39</f>
        <v>29333.715403422982</v>
      </c>
      <c r="E34" s="25">
        <f>D34/$D$35*100</f>
        <v>4.8899755501222506</v>
      </c>
      <c r="F34" s="25">
        <f>C34/C39*F39</f>
        <v>28233.119315403426</v>
      </c>
      <c r="G34" s="19">
        <f xml:space="preserve"> 1.01*G11*12</f>
        <v>37033.872000000003</v>
      </c>
    </row>
    <row r="35" spans="1:7" ht="19.5">
      <c r="A35" s="23"/>
      <c r="B35" s="22" t="s">
        <v>6</v>
      </c>
      <c r="C35" s="10">
        <f>C17+C24+C27+C30+C31+C34</f>
        <v>16.36</v>
      </c>
      <c r="D35" s="21">
        <f>(D17+D24+D27+D30+D31+D34)</f>
        <v>599874.47999999986</v>
      </c>
      <c r="E35" s="24">
        <f>D35/$D$35*100</f>
        <v>100</v>
      </c>
      <c r="F35" s="20">
        <f>F17+F24+F27+F30+F31+F34</f>
        <v>577367.29</v>
      </c>
      <c r="G35" s="19">
        <f>G17+G24+G27+G30+G31+G34</f>
        <v>587535.52</v>
      </c>
    </row>
    <row r="36" spans="1:7" ht="19.5">
      <c r="A36" s="18"/>
      <c r="B36" s="17"/>
      <c r="C36" s="16"/>
      <c r="D36" s="15"/>
      <c r="E36" s="15">
        <f>D36/$D$35*100</f>
        <v>0</v>
      </c>
      <c r="F36" s="15"/>
      <c r="G36" s="15"/>
    </row>
    <row r="37" spans="1:7" ht="19.5">
      <c r="A37" s="23"/>
      <c r="B37" s="22"/>
      <c r="C37" s="10"/>
      <c r="D37" s="21"/>
      <c r="E37" s="21">
        <f>E35*18/100</f>
        <v>18</v>
      </c>
      <c r="F37" s="20"/>
      <c r="G37" s="19"/>
    </row>
    <row r="38" spans="1:7" ht="19.5">
      <c r="A38" s="18"/>
      <c r="B38" s="17"/>
      <c r="C38" s="16"/>
      <c r="D38" s="15"/>
      <c r="E38" s="15"/>
      <c r="F38" s="14"/>
      <c r="G38" s="13"/>
    </row>
    <row r="39" spans="1:7" ht="20.25" thickBot="1">
      <c r="A39" s="12"/>
      <c r="B39" s="11" t="s">
        <v>5</v>
      </c>
      <c r="C39" s="10">
        <f>C35+C36</f>
        <v>16.36</v>
      </c>
      <c r="D39" s="9">
        <v>599874.48</v>
      </c>
      <c r="E39" s="9">
        <f>E35+E37</f>
        <v>118</v>
      </c>
      <c r="F39" s="8">
        <v>577367.29</v>
      </c>
      <c r="G39" s="7">
        <f>G35+G36</f>
        <v>587535.52</v>
      </c>
    </row>
    <row r="40" spans="1:7">
      <c r="D40" s="2" t="s">
        <v>4</v>
      </c>
      <c r="F40" s="6">
        <f>F39/D39</f>
        <v>0.96248016751771148</v>
      </c>
    </row>
    <row r="42" spans="1:7" ht="18.75">
      <c r="A42" s="5"/>
      <c r="B42" s="4" t="s">
        <v>53</v>
      </c>
      <c r="C42" s="3">
        <v>263456.23</v>
      </c>
      <c r="D42" s="3" t="s">
        <v>1</v>
      </c>
    </row>
    <row r="43" spans="1:7" ht="18.75">
      <c r="A43" s="5"/>
      <c r="B43" s="4" t="s">
        <v>54</v>
      </c>
      <c r="C43" s="3">
        <f>D39-F39</f>
        <v>22507.189999999944</v>
      </c>
      <c r="D43" s="3" t="s">
        <v>1</v>
      </c>
    </row>
    <row r="44" spans="1:7" ht="18.75">
      <c r="A44" s="5"/>
      <c r="B44" s="4" t="s">
        <v>2</v>
      </c>
      <c r="C44" s="3">
        <f>C42+C43</f>
        <v>285963.41999999993</v>
      </c>
      <c r="D44" s="3" t="s">
        <v>1</v>
      </c>
    </row>
    <row r="45" spans="1:7" ht="18.75">
      <c r="A45" s="5"/>
      <c r="C45" s="3"/>
      <c r="D45" s="3"/>
      <c r="E45" s="1"/>
      <c r="F45" s="1"/>
      <c r="G45" s="1"/>
    </row>
    <row r="50" spans="2:7">
      <c r="B50" s="1" t="s">
        <v>0</v>
      </c>
      <c r="E50" s="1"/>
      <c r="F50" s="1"/>
      <c r="G50" s="1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9"/>
  <sheetViews>
    <sheetView topLeftCell="A10" zoomScale="75" zoomScaleNormal="50" workbookViewId="0">
      <selection activeCell="K39" sqref="K39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5"/>
      <c r="B1" s="75"/>
      <c r="C1" s="74"/>
      <c r="D1" s="74"/>
      <c r="E1" s="74"/>
      <c r="F1" s="74"/>
      <c r="G1" s="74"/>
    </row>
    <row r="2" spans="1:7" ht="18.75">
      <c r="A2" s="75"/>
      <c r="B2" s="75"/>
      <c r="C2" s="74"/>
      <c r="D2" s="74"/>
      <c r="E2" s="74"/>
      <c r="F2" s="74"/>
      <c r="G2" s="74"/>
    </row>
    <row r="3" spans="1:7" ht="18.75">
      <c r="A3" s="75"/>
      <c r="B3" s="75"/>
      <c r="C3" s="74"/>
      <c r="D3" s="74"/>
      <c r="E3" s="74"/>
      <c r="F3" s="74"/>
      <c r="G3" s="74"/>
    </row>
    <row r="4" spans="1:7" ht="18.75">
      <c r="A4" s="75"/>
      <c r="B4" s="75"/>
      <c r="C4" s="74"/>
      <c r="D4" s="74"/>
      <c r="E4" s="74"/>
      <c r="F4" s="74"/>
      <c r="G4" s="74"/>
    </row>
    <row r="5" spans="1:7" ht="18.75">
      <c r="A5" s="75"/>
      <c r="B5" s="75"/>
      <c r="C5" s="74"/>
      <c r="D5" s="74"/>
      <c r="E5" s="74"/>
      <c r="F5" s="74"/>
      <c r="G5" s="74"/>
    </row>
    <row r="6" spans="1:7" ht="18.75">
      <c r="A6" s="75"/>
      <c r="B6" s="75"/>
      <c r="C6" s="74"/>
      <c r="D6" s="74"/>
      <c r="E6" s="74"/>
      <c r="F6" s="74"/>
      <c r="G6" s="74"/>
    </row>
    <row r="7" spans="1:7" ht="18.75">
      <c r="A7" s="76" t="s">
        <v>39</v>
      </c>
      <c r="B7" s="76"/>
      <c r="C7" s="76"/>
      <c r="D7" s="76"/>
      <c r="E7" s="76"/>
      <c r="F7" s="76"/>
      <c r="G7" s="76"/>
    </row>
    <row r="8" spans="1:7" ht="18.75">
      <c r="A8" s="76" t="s">
        <v>41</v>
      </c>
      <c r="B8" s="76"/>
      <c r="C8" s="76"/>
      <c r="D8" s="76"/>
      <c r="E8" s="76"/>
      <c r="F8" s="76"/>
      <c r="G8" s="76"/>
    </row>
    <row r="9" spans="1:7" ht="18.75">
      <c r="A9" s="76" t="s">
        <v>52</v>
      </c>
      <c r="B9" s="76"/>
      <c r="C9" s="76"/>
      <c r="D9" s="76"/>
      <c r="E9" s="76"/>
      <c r="F9" s="76"/>
      <c r="G9" s="76"/>
    </row>
    <row r="10" spans="1:7" ht="18.75">
      <c r="A10" s="73"/>
      <c r="B10" s="73"/>
      <c r="C10" s="72"/>
      <c r="D10" s="72"/>
      <c r="E10" s="72"/>
      <c r="F10" s="72"/>
      <c r="G10" s="72"/>
    </row>
    <row r="11" spans="1:7" ht="16.5" thickBot="1">
      <c r="A11" s="70"/>
      <c r="B11" s="71"/>
      <c r="C11" s="70"/>
      <c r="D11" s="70"/>
      <c r="E11" s="70"/>
      <c r="F11" s="70"/>
      <c r="G11" s="70">
        <v>2705.7</v>
      </c>
    </row>
    <row r="12" spans="1:7" ht="16.5" thickBot="1">
      <c r="A12" s="80" t="s">
        <v>37</v>
      </c>
      <c r="B12" s="82" t="s">
        <v>36</v>
      </c>
      <c r="C12" s="77" t="s">
        <v>35</v>
      </c>
      <c r="D12" s="78"/>
      <c r="E12" s="78"/>
      <c r="F12" s="79"/>
      <c r="G12" s="84" t="s">
        <v>34</v>
      </c>
    </row>
    <row r="13" spans="1:7">
      <c r="A13" s="81"/>
      <c r="B13" s="83"/>
      <c r="C13" s="69" t="s">
        <v>33</v>
      </c>
      <c r="D13" s="68" t="s">
        <v>32</v>
      </c>
      <c r="E13" s="67"/>
      <c r="F13" s="66" t="s">
        <v>31</v>
      </c>
      <c r="G13" s="85"/>
    </row>
    <row r="14" spans="1:7">
      <c r="A14" s="65"/>
      <c r="B14" s="64"/>
      <c r="C14" s="63"/>
      <c r="D14" s="62"/>
      <c r="E14" s="61"/>
      <c r="F14" s="60"/>
      <c r="G14" s="59"/>
    </row>
    <row r="15" spans="1:7" ht="19.5">
      <c r="A15" s="53" t="s">
        <v>30</v>
      </c>
      <c r="B15" s="52" t="s">
        <v>29</v>
      </c>
      <c r="C15" s="51"/>
      <c r="D15" s="50"/>
      <c r="E15" s="49"/>
      <c r="F15" s="48"/>
      <c r="G15" s="47"/>
    </row>
    <row r="16" spans="1:7" ht="19.5">
      <c r="A16" s="46"/>
      <c r="B16" s="45" t="s">
        <v>28</v>
      </c>
      <c r="C16" s="44"/>
      <c r="D16" s="43"/>
      <c r="E16" s="42"/>
      <c r="F16" s="41"/>
      <c r="G16" s="40"/>
    </row>
    <row r="17" spans="1:7" ht="19.5">
      <c r="A17" s="39"/>
      <c r="B17" s="38" t="s">
        <v>27</v>
      </c>
      <c r="C17" s="37">
        <f>C18+C19+C20+C21</f>
        <v>5.0599999999999996</v>
      </c>
      <c r="D17" s="36">
        <f>SUM(D18:D21)</f>
        <v>164289.91100244498</v>
      </c>
      <c r="E17" s="36">
        <f>SUM(E18:E21)</f>
        <v>30.929095354523231</v>
      </c>
      <c r="F17" s="35">
        <f>SUM(F18:F21)</f>
        <v>155768.31427872859</v>
      </c>
      <c r="G17" s="34">
        <f>G18+G19+G20+G21</f>
        <v>141562.22399999999</v>
      </c>
    </row>
    <row r="18" spans="1:7">
      <c r="A18" s="30"/>
      <c r="B18" s="32" t="s">
        <v>26</v>
      </c>
      <c r="C18" s="33">
        <v>2.58</v>
      </c>
      <c r="D18" s="27">
        <f>C18/C39*D39</f>
        <v>83768.373594132034</v>
      </c>
      <c r="E18" s="27">
        <f>D18/$D$35*100</f>
        <v>15.770171149144256</v>
      </c>
      <c r="F18" s="27">
        <f>C18/C39*F39</f>
        <v>79423.369731051338</v>
      </c>
      <c r="G18" s="58">
        <f>2.33*G11*12</f>
        <v>75651.372000000003</v>
      </c>
    </row>
    <row r="19" spans="1:7">
      <c r="A19" s="30"/>
      <c r="B19" s="32" t="s">
        <v>25</v>
      </c>
      <c r="C19" s="28">
        <v>1.75</v>
      </c>
      <c r="D19" s="27">
        <f>C19/C39*D39</f>
        <v>56819.633251833744</v>
      </c>
      <c r="E19" s="27">
        <f>D19/$D$35*100</f>
        <v>10.696821515892422</v>
      </c>
      <c r="F19" s="27">
        <f>C19/C39*F39</f>
        <v>53872.440709046459</v>
      </c>
      <c r="G19" s="58">
        <f>1.4*G11*12</f>
        <v>45455.759999999995</v>
      </c>
    </row>
    <row r="20" spans="1:7">
      <c r="A20" s="30">
        <v>0</v>
      </c>
      <c r="B20" s="32" t="s">
        <v>24</v>
      </c>
      <c r="C20" s="28">
        <v>0.69</v>
      </c>
      <c r="D20" s="27">
        <f>C20/C39*D39</f>
        <v>22403.169682151591</v>
      </c>
      <c r="E20" s="27">
        <f>D20/$D$35*100</f>
        <v>4.21760391198044</v>
      </c>
      <c r="F20" s="27">
        <f>C20/C39*F39</f>
        <v>21241.133765281174</v>
      </c>
      <c r="G20" s="58">
        <f>0.63*G11*12</f>
        <v>20455.091999999997</v>
      </c>
    </row>
    <row r="21" spans="1:7">
      <c r="A21" s="57"/>
      <c r="B21" s="56" t="s">
        <v>23</v>
      </c>
      <c r="C21" s="55">
        <v>0.04</v>
      </c>
      <c r="D21" s="27">
        <f>C21/C39*D39</f>
        <v>1298.7344743276285</v>
      </c>
      <c r="E21" s="27">
        <f>D21/$D$35*100</f>
        <v>0.24449877750611246</v>
      </c>
      <c r="F21" s="27">
        <f>C21/C39*F39</f>
        <v>1231.3700733496332</v>
      </c>
      <c r="G21" s="54">
        <v>0</v>
      </c>
    </row>
    <row r="22" spans="1:7" ht="19.5">
      <c r="A22" s="53" t="s">
        <v>22</v>
      </c>
      <c r="B22" s="52" t="s">
        <v>21</v>
      </c>
      <c r="C22" s="51"/>
      <c r="D22" s="50"/>
      <c r="E22" s="49"/>
      <c r="F22" s="48"/>
      <c r="G22" s="47"/>
    </row>
    <row r="23" spans="1:7" ht="19.5">
      <c r="A23" s="46"/>
      <c r="B23" s="45" t="s">
        <v>20</v>
      </c>
      <c r="C23" s="44"/>
      <c r="D23" s="43"/>
      <c r="E23" s="42"/>
      <c r="F23" s="41"/>
      <c r="G23" s="40"/>
    </row>
    <row r="24" spans="1:7" ht="19.5">
      <c r="A24" s="39"/>
      <c r="B24" s="38"/>
      <c r="C24" s="37">
        <f>C25+C26</f>
        <v>3.11</v>
      </c>
      <c r="D24" s="36">
        <f>D25+D26</f>
        <v>100976.60537897311</v>
      </c>
      <c r="E24" s="36">
        <f>E25+E26</f>
        <v>19.009779951100246</v>
      </c>
      <c r="F24" s="35">
        <f>F25+F26</f>
        <v>95739.023202933982</v>
      </c>
      <c r="G24" s="34">
        <f>G25+G26</f>
        <v>116194</v>
      </c>
    </row>
    <row r="25" spans="1:7">
      <c r="A25" s="30"/>
      <c r="B25" s="32" t="s">
        <v>19</v>
      </c>
      <c r="C25" s="33">
        <v>2.36</v>
      </c>
      <c r="D25" s="27">
        <f>C25/C39*D39</f>
        <v>76625.333985330071</v>
      </c>
      <c r="E25" s="27">
        <f>D25/$D$35*100</f>
        <v>14.425427872860636</v>
      </c>
      <c r="F25" s="27">
        <f>C25/C39*F39</f>
        <v>72650.834327628356</v>
      </c>
      <c r="G25" s="26">
        <v>57754</v>
      </c>
    </row>
    <row r="26" spans="1:7">
      <c r="A26" s="30"/>
      <c r="B26" s="32" t="s">
        <v>18</v>
      </c>
      <c r="C26" s="28">
        <v>0.75</v>
      </c>
      <c r="D26" s="27">
        <f>C26/C39*D39</f>
        <v>24351.271393643034</v>
      </c>
      <c r="E26" s="27">
        <f>D26/$D$35*100</f>
        <v>4.5843520782396094</v>
      </c>
      <c r="F26" s="27">
        <f>C26/C39*F39</f>
        <v>23088.188875305623</v>
      </c>
      <c r="G26" s="26">
        <v>58440</v>
      </c>
    </row>
    <row r="27" spans="1:7" ht="19.5">
      <c r="A27" s="23" t="s">
        <v>17</v>
      </c>
      <c r="B27" s="22" t="s">
        <v>16</v>
      </c>
      <c r="C27" s="10">
        <f>C28+C29</f>
        <v>1.6400000000000001</v>
      </c>
      <c r="D27" s="21">
        <f>D28+D29</f>
        <v>53248.11344743277</v>
      </c>
      <c r="E27" s="21">
        <f>E28+E29</f>
        <v>10.024449877750612</v>
      </c>
      <c r="F27" s="20">
        <f>F28+F29</f>
        <v>50486.173007334961</v>
      </c>
      <c r="G27" s="19">
        <f>G28+G29</f>
        <v>275716</v>
      </c>
    </row>
    <row r="28" spans="1:7">
      <c r="A28" s="30"/>
      <c r="B28" s="29" t="s">
        <v>15</v>
      </c>
      <c r="C28" s="28">
        <v>0.84</v>
      </c>
      <c r="D28" s="27">
        <f>C28/C39*D39</f>
        <v>27273.423960880198</v>
      </c>
      <c r="E28" s="27">
        <f>D28/$D$35*100</f>
        <v>5.1344743276283618</v>
      </c>
      <c r="F28" s="27">
        <f>C28/C39*F39</f>
        <v>25858.771540342299</v>
      </c>
      <c r="G28" s="26">
        <v>13611</v>
      </c>
    </row>
    <row r="29" spans="1:7">
      <c r="A29" s="30"/>
      <c r="B29" s="29" t="s">
        <v>14</v>
      </c>
      <c r="C29" s="28">
        <v>0.8</v>
      </c>
      <c r="D29" s="27">
        <f>C29/C39*D39</f>
        <v>25974.689486552572</v>
      </c>
      <c r="E29" s="27">
        <f>D29/$D$35*100</f>
        <v>4.8899755501222497</v>
      </c>
      <c r="F29" s="27">
        <f>C29/C39*F39</f>
        <v>24627.401466992666</v>
      </c>
      <c r="G29" s="26">
        <v>262105</v>
      </c>
    </row>
    <row r="30" spans="1:7" ht="19.5">
      <c r="A30" s="23" t="s">
        <v>13</v>
      </c>
      <c r="B30" s="22" t="s">
        <v>12</v>
      </c>
      <c r="C30" s="10">
        <v>1.21</v>
      </c>
      <c r="D30" s="25">
        <f>C30/C39*D39</f>
        <v>39286.717848410757</v>
      </c>
      <c r="E30" s="25">
        <f>D30/$D$35*100</f>
        <v>7.3960880195599019</v>
      </c>
      <c r="F30" s="25">
        <f>C30/C39*F39</f>
        <v>37248.944718826402</v>
      </c>
      <c r="G30" s="19">
        <f>1.29*G11*12</f>
        <v>41884.236000000004</v>
      </c>
    </row>
    <row r="31" spans="1:7" ht="19.5">
      <c r="A31" s="23" t="s">
        <v>11</v>
      </c>
      <c r="B31" s="22" t="s">
        <v>10</v>
      </c>
      <c r="C31" s="10">
        <f>C32+C33</f>
        <v>4.54</v>
      </c>
      <c r="D31" s="21">
        <f>SUM(D32:D33)</f>
        <v>147406.36283618581</v>
      </c>
      <c r="E31" s="21">
        <f>SUM(E32:E33)</f>
        <v>27.750611246943766</v>
      </c>
      <c r="F31" s="20">
        <f>SUM(F32:F33)</f>
        <v>139760.50332518338</v>
      </c>
      <c r="G31" s="19">
        <f>G32+G33</f>
        <v>200979.39600000001</v>
      </c>
    </row>
    <row r="32" spans="1:7" ht="19.5">
      <c r="A32" s="18"/>
      <c r="B32" s="29" t="s">
        <v>56</v>
      </c>
      <c r="C32" s="28">
        <v>1.38</v>
      </c>
      <c r="D32" s="27">
        <f>C32/C39*D39</f>
        <v>44806.339364303181</v>
      </c>
      <c r="E32" s="27">
        <f>D32/$D$35*100</f>
        <v>8.4352078239608801</v>
      </c>
      <c r="F32" s="27">
        <f>C32/C39*F39</f>
        <v>42482.267530562349</v>
      </c>
      <c r="G32" s="13">
        <f>2.26*G11*12</f>
        <v>73378.583999999988</v>
      </c>
    </row>
    <row r="33" spans="1:7">
      <c r="A33" s="30"/>
      <c r="B33" s="29" t="s">
        <v>64</v>
      </c>
      <c r="C33" s="28">
        <v>3.16</v>
      </c>
      <c r="D33" s="27">
        <f>C33/C39*D39</f>
        <v>102600.02347188264</v>
      </c>
      <c r="E33" s="27">
        <f>D33/$D$35*100</f>
        <v>19.315403422982886</v>
      </c>
      <c r="F33" s="27">
        <f>C33/C39*F39</f>
        <v>97278.235794621025</v>
      </c>
      <c r="G33" s="26">
        <f xml:space="preserve"> 3.93*G11*12</f>
        <v>127600.81200000001</v>
      </c>
    </row>
    <row r="34" spans="1:7" ht="19.5">
      <c r="A34" s="23" t="s">
        <v>8</v>
      </c>
      <c r="B34" s="22" t="s">
        <v>7</v>
      </c>
      <c r="C34" s="10">
        <v>0.8</v>
      </c>
      <c r="D34" s="25">
        <f>C34/C39*D39</f>
        <v>25974.689486552572</v>
      </c>
      <c r="E34" s="25">
        <f>D34/$D$35*100</f>
        <v>4.8899755501222497</v>
      </c>
      <c r="F34" s="25">
        <f>C34/C39*F39</f>
        <v>24627.401466992666</v>
      </c>
      <c r="G34" s="19">
        <f xml:space="preserve"> 1.01*G11*12</f>
        <v>32793.084000000003</v>
      </c>
    </row>
    <row r="35" spans="1:7" ht="19.5">
      <c r="A35" s="23"/>
      <c r="B35" s="22" t="s">
        <v>6</v>
      </c>
      <c r="C35" s="10">
        <f>C17+C24+C27+C30+C31+C34</f>
        <v>16.36</v>
      </c>
      <c r="D35" s="21">
        <f>(D17+D24+D27+D30+D31+D34)</f>
        <v>531182.4</v>
      </c>
      <c r="E35" s="24">
        <f>D35/$D$35*100</f>
        <v>100</v>
      </c>
      <c r="F35" s="21">
        <f>(F17+F24+F27+F30+F31+F34)</f>
        <v>503630.36</v>
      </c>
      <c r="G35" s="19">
        <f>G17+G24+G27+G30+G31+G34</f>
        <v>809128.94</v>
      </c>
    </row>
    <row r="36" spans="1:7" ht="19.5">
      <c r="A36" s="18"/>
      <c r="B36" s="17"/>
      <c r="C36" s="16"/>
      <c r="D36" s="15"/>
      <c r="E36" s="15">
        <f>D36/$D$35*100</f>
        <v>0</v>
      </c>
      <c r="F36" s="15"/>
      <c r="G36" s="15"/>
    </row>
    <row r="37" spans="1:7" ht="19.5">
      <c r="A37" s="23"/>
      <c r="B37" s="22"/>
      <c r="C37" s="10"/>
      <c r="D37" s="21"/>
      <c r="E37" s="21">
        <f>E35*18/100</f>
        <v>18</v>
      </c>
      <c r="F37" s="20"/>
      <c r="G37" s="19"/>
    </row>
    <row r="38" spans="1:7" ht="19.5">
      <c r="A38" s="18"/>
      <c r="B38" s="17"/>
      <c r="C38" s="16"/>
      <c r="D38" s="15"/>
      <c r="E38" s="15"/>
      <c r="F38" s="14"/>
      <c r="G38" s="13"/>
    </row>
    <row r="39" spans="1:7" ht="20.25" thickBot="1">
      <c r="A39" s="12"/>
      <c r="B39" s="11" t="s">
        <v>5</v>
      </c>
      <c r="C39" s="10">
        <f>C35+C36</f>
        <v>16.36</v>
      </c>
      <c r="D39" s="9">
        <v>531182.4</v>
      </c>
      <c r="E39" s="9">
        <f>E35+E37</f>
        <v>118</v>
      </c>
      <c r="F39" s="8">
        <v>503630.36</v>
      </c>
      <c r="G39" s="7">
        <f>G35+G36</f>
        <v>809128.94</v>
      </c>
    </row>
    <row r="40" spans="1:7">
      <c r="D40" s="2" t="s">
        <v>4</v>
      </c>
      <c r="F40" s="6">
        <f>F39/D39</f>
        <v>0.94813073625933386</v>
      </c>
    </row>
    <row r="42" spans="1:7" ht="18.75">
      <c r="A42" s="5"/>
      <c r="B42" s="4" t="s">
        <v>53</v>
      </c>
      <c r="C42" s="3">
        <v>192891.09</v>
      </c>
      <c r="D42" s="3" t="s">
        <v>1</v>
      </c>
    </row>
    <row r="43" spans="1:7" ht="18.75">
      <c r="A43" s="5"/>
      <c r="B43" s="4" t="s">
        <v>54</v>
      </c>
      <c r="C43" s="3">
        <f>D39-F39</f>
        <v>27552.040000000037</v>
      </c>
      <c r="D43" s="3" t="s">
        <v>1</v>
      </c>
    </row>
    <row r="44" spans="1:7" ht="18.75">
      <c r="A44" s="5"/>
      <c r="B44" s="4" t="s">
        <v>2</v>
      </c>
      <c r="C44" s="3">
        <f>C42+C43</f>
        <v>220443.13000000003</v>
      </c>
      <c r="D44" s="3" t="s">
        <v>1</v>
      </c>
    </row>
    <row r="45" spans="1:7" ht="18.75">
      <c r="A45" s="5"/>
      <c r="C45" s="3"/>
      <c r="D45" s="3"/>
      <c r="E45" s="1"/>
      <c r="F45" s="1"/>
      <c r="G45" s="1"/>
    </row>
    <row r="49" spans="2:7">
      <c r="B49" s="1" t="s">
        <v>0</v>
      </c>
      <c r="E49" s="1"/>
      <c r="F49" s="1"/>
      <c r="G49" s="1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0"/>
  <sheetViews>
    <sheetView topLeftCell="A4" zoomScale="75" zoomScaleNormal="50" workbookViewId="0">
      <selection activeCell="G33" sqref="G33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5"/>
      <c r="B1" s="75"/>
      <c r="C1" s="74"/>
      <c r="D1" s="74"/>
      <c r="E1" s="74"/>
      <c r="F1" s="74"/>
      <c r="G1" s="74"/>
    </row>
    <row r="2" spans="1:7" ht="18.75">
      <c r="A2" s="75"/>
      <c r="B2" s="75"/>
      <c r="C2" s="74"/>
      <c r="D2" s="74"/>
      <c r="E2" s="74"/>
      <c r="F2" s="74"/>
      <c r="G2" s="74"/>
    </row>
    <row r="3" spans="1:7" ht="18.75">
      <c r="A3" s="75"/>
      <c r="B3" s="75"/>
      <c r="C3" s="74"/>
      <c r="D3" s="74"/>
      <c r="E3" s="74"/>
      <c r="F3" s="74"/>
      <c r="G3" s="74"/>
    </row>
    <row r="4" spans="1:7" ht="18.75">
      <c r="A4" s="75"/>
      <c r="B4" s="75"/>
      <c r="C4" s="74"/>
      <c r="D4" s="74"/>
      <c r="E4" s="74"/>
      <c r="F4" s="74"/>
      <c r="G4" s="74"/>
    </row>
    <row r="5" spans="1:7" ht="18.75">
      <c r="A5" s="75"/>
      <c r="B5" s="75"/>
      <c r="C5" s="74"/>
      <c r="D5" s="74"/>
      <c r="E5" s="74"/>
      <c r="F5" s="74"/>
      <c r="G5" s="74"/>
    </row>
    <row r="6" spans="1:7" ht="18.75">
      <c r="A6" s="75"/>
      <c r="B6" s="75"/>
      <c r="C6" s="74"/>
      <c r="D6" s="74"/>
      <c r="E6" s="74"/>
      <c r="F6" s="74"/>
      <c r="G6" s="74"/>
    </row>
    <row r="7" spans="1:7" ht="18.75">
      <c r="A7" s="76" t="s">
        <v>39</v>
      </c>
      <c r="B7" s="76"/>
      <c r="C7" s="76"/>
      <c r="D7" s="76"/>
      <c r="E7" s="76"/>
      <c r="F7" s="76"/>
      <c r="G7" s="76"/>
    </row>
    <row r="8" spans="1:7" ht="18.75">
      <c r="A8" s="76" t="s">
        <v>42</v>
      </c>
      <c r="B8" s="76"/>
      <c r="C8" s="76"/>
      <c r="D8" s="76"/>
      <c r="E8" s="76"/>
      <c r="F8" s="76"/>
      <c r="G8" s="76"/>
    </row>
    <row r="9" spans="1:7" ht="18.75">
      <c r="A9" s="76" t="s">
        <v>52</v>
      </c>
      <c r="B9" s="76"/>
      <c r="C9" s="76"/>
      <c r="D9" s="76"/>
      <c r="E9" s="76"/>
      <c r="F9" s="76"/>
      <c r="G9" s="76"/>
    </row>
    <row r="10" spans="1:7" ht="18.75">
      <c r="A10" s="73"/>
      <c r="B10" s="73"/>
      <c r="C10" s="72"/>
      <c r="D10" s="72"/>
      <c r="E10" s="72"/>
      <c r="F10" s="72"/>
      <c r="G10" s="72"/>
    </row>
    <row r="11" spans="1:7" ht="16.5" thickBot="1">
      <c r="A11" s="70"/>
      <c r="B11" s="71"/>
      <c r="C11" s="70"/>
      <c r="D11" s="70"/>
      <c r="E11" s="70"/>
      <c r="F11" s="70"/>
      <c r="G11" s="70">
        <v>2533.6999999999998</v>
      </c>
    </row>
    <row r="12" spans="1:7" ht="16.5" thickBot="1">
      <c r="A12" s="80" t="s">
        <v>37</v>
      </c>
      <c r="B12" s="82" t="s">
        <v>36</v>
      </c>
      <c r="C12" s="77" t="s">
        <v>35</v>
      </c>
      <c r="D12" s="78"/>
      <c r="E12" s="78"/>
      <c r="F12" s="79"/>
      <c r="G12" s="84" t="s">
        <v>34</v>
      </c>
    </row>
    <row r="13" spans="1:7">
      <c r="A13" s="81"/>
      <c r="B13" s="83"/>
      <c r="C13" s="69" t="s">
        <v>33</v>
      </c>
      <c r="D13" s="68" t="s">
        <v>32</v>
      </c>
      <c r="E13" s="67"/>
      <c r="F13" s="66" t="s">
        <v>31</v>
      </c>
      <c r="G13" s="85"/>
    </row>
    <row r="14" spans="1:7">
      <c r="A14" s="65"/>
      <c r="B14" s="64"/>
      <c r="C14" s="63"/>
      <c r="D14" s="62"/>
      <c r="E14" s="61"/>
      <c r="F14" s="60"/>
      <c r="G14" s="59"/>
    </row>
    <row r="15" spans="1:7" ht="19.5">
      <c r="A15" s="53" t="s">
        <v>30</v>
      </c>
      <c r="B15" s="52" t="s">
        <v>29</v>
      </c>
      <c r="C15" s="51"/>
      <c r="D15" s="50"/>
      <c r="E15" s="49"/>
      <c r="F15" s="48"/>
      <c r="G15" s="47"/>
    </row>
    <row r="16" spans="1:7" ht="19.5">
      <c r="A16" s="46"/>
      <c r="B16" s="45" t="s">
        <v>28</v>
      </c>
      <c r="C16" s="44"/>
      <c r="D16" s="43"/>
      <c r="E16" s="42"/>
      <c r="F16" s="41"/>
      <c r="G16" s="40"/>
    </row>
    <row r="17" spans="1:7" ht="19.5">
      <c r="A17" s="39"/>
      <c r="B17" s="38" t="s">
        <v>27</v>
      </c>
      <c r="C17" s="37">
        <f>C18+C19+C20+C21</f>
        <v>5.0599999999999996</v>
      </c>
      <c r="D17" s="36">
        <f>SUM(D18:D21)</f>
        <v>171452.65739782018</v>
      </c>
      <c r="E17" s="36">
        <f>SUM(E18:E21)</f>
        <v>34.46866485013625</v>
      </c>
      <c r="F17" s="35">
        <f>SUM(F18:F21)</f>
        <v>153670.07673024523</v>
      </c>
      <c r="G17" s="34">
        <f>G18+G19+G20+G21</f>
        <v>132563.18399999998</v>
      </c>
    </row>
    <row r="18" spans="1:7">
      <c r="A18" s="30"/>
      <c r="B18" s="32" t="s">
        <v>26</v>
      </c>
      <c r="C18" s="33">
        <v>2.58</v>
      </c>
      <c r="D18" s="27">
        <f>C18/C39*D39</f>
        <v>87420.524918256138</v>
      </c>
      <c r="E18" s="27">
        <f>D18/$D$35*100</f>
        <v>17.574931880108995</v>
      </c>
      <c r="F18" s="27">
        <f>C18/C39*F39</f>
        <v>78353.517384196195</v>
      </c>
      <c r="G18" s="58">
        <f>2.33*G11*12</f>
        <v>70842.251999999993</v>
      </c>
    </row>
    <row r="19" spans="1:7">
      <c r="A19" s="30"/>
      <c r="B19" s="32" t="s">
        <v>25</v>
      </c>
      <c r="C19" s="28">
        <v>1.75</v>
      </c>
      <c r="D19" s="27">
        <f>C19/C39*D39</f>
        <v>59296.867677111717</v>
      </c>
      <c r="E19" s="27">
        <f>D19/$D$35*100</f>
        <v>11.920980926430518</v>
      </c>
      <c r="F19" s="27">
        <f>C19/C39*F39</f>
        <v>53146.765667574931</v>
      </c>
      <c r="G19" s="58">
        <f>1.4*G11*12</f>
        <v>42566.159999999989</v>
      </c>
    </row>
    <row r="20" spans="1:7">
      <c r="A20" s="30">
        <v>0</v>
      </c>
      <c r="B20" s="32" t="s">
        <v>24</v>
      </c>
      <c r="C20" s="28">
        <v>0.69</v>
      </c>
      <c r="D20" s="27">
        <f>C20/C39*D39</f>
        <v>23379.907826975479</v>
      </c>
      <c r="E20" s="27">
        <f>D20/$D$35*100</f>
        <v>4.7002724795640338</v>
      </c>
      <c r="F20" s="27">
        <f>C20/C39*F39</f>
        <v>20955.010463215258</v>
      </c>
      <c r="G20" s="58">
        <f>0.63*G11*12</f>
        <v>19154.772000000001</v>
      </c>
    </row>
    <row r="21" spans="1:7">
      <c r="A21" s="57"/>
      <c r="B21" s="56" t="s">
        <v>23</v>
      </c>
      <c r="C21" s="55">
        <v>0.04</v>
      </c>
      <c r="D21" s="27">
        <f>C21/C39*D39</f>
        <v>1355.3569754768391</v>
      </c>
      <c r="E21" s="27">
        <f>D21/$D$35*100</f>
        <v>0.27247956403269752</v>
      </c>
      <c r="F21" s="27">
        <f>C21/C39*F39</f>
        <v>1214.7832152588555</v>
      </c>
      <c r="G21" s="54"/>
    </row>
    <row r="22" spans="1:7" ht="19.5">
      <c r="A22" s="53" t="s">
        <v>22</v>
      </c>
      <c r="B22" s="52" t="s">
        <v>21</v>
      </c>
      <c r="C22" s="51"/>
      <c r="D22" s="50"/>
      <c r="E22" s="49"/>
      <c r="F22" s="48"/>
      <c r="G22" s="47"/>
    </row>
    <row r="23" spans="1:7" ht="19.5">
      <c r="A23" s="46"/>
      <c r="B23" s="45" t="s">
        <v>20</v>
      </c>
      <c r="C23" s="44"/>
      <c r="D23" s="43"/>
      <c r="E23" s="42"/>
      <c r="F23" s="41"/>
      <c r="G23" s="40"/>
    </row>
    <row r="24" spans="1:7" ht="19.5">
      <c r="A24" s="39"/>
      <c r="B24" s="38"/>
      <c r="C24" s="37">
        <f>C25+C26</f>
        <v>3.11</v>
      </c>
      <c r="D24" s="36">
        <f>D25+D26</f>
        <v>105379.00484332425</v>
      </c>
      <c r="E24" s="36">
        <f>E25+E26</f>
        <v>21.185286103542232</v>
      </c>
      <c r="F24" s="35">
        <f>F25+F26</f>
        <v>94449.394986376021</v>
      </c>
      <c r="G24" s="34">
        <f>G25+G26</f>
        <v>84558.8</v>
      </c>
    </row>
    <row r="25" spans="1:7">
      <c r="A25" s="30"/>
      <c r="B25" s="32" t="s">
        <v>19</v>
      </c>
      <c r="C25" s="33">
        <v>2.36</v>
      </c>
      <c r="D25" s="27">
        <f>C25/C39*D39</f>
        <v>79966.061553133506</v>
      </c>
      <c r="E25" s="27">
        <f>D25/$D$35*100</f>
        <v>16.076294277929154</v>
      </c>
      <c r="F25" s="27">
        <f>C25/C39*F39</f>
        <v>71672.209700272477</v>
      </c>
      <c r="G25" s="26">
        <v>43669</v>
      </c>
    </row>
    <row r="26" spans="1:7">
      <c r="A26" s="30"/>
      <c r="B26" s="32" t="s">
        <v>18</v>
      </c>
      <c r="C26" s="28">
        <v>0.75</v>
      </c>
      <c r="D26" s="27">
        <f>C26/C39*D39</f>
        <v>25412.943290190735</v>
      </c>
      <c r="E26" s="27">
        <f>D26/$D$35*100</f>
        <v>5.1089918256130789</v>
      </c>
      <c r="F26" s="27">
        <f>C26/C39*F39</f>
        <v>22777.18528610354</v>
      </c>
      <c r="G26" s="26">
        <f>58414-G29</f>
        <v>40889.800000000003</v>
      </c>
    </row>
    <row r="27" spans="1:7" ht="19.5">
      <c r="A27" s="23" t="s">
        <v>17</v>
      </c>
      <c r="B27" s="22" t="s">
        <v>16</v>
      </c>
      <c r="C27" s="10">
        <f>C28+C29</f>
        <v>1.6400000000000001</v>
      </c>
      <c r="D27" s="21">
        <f>D28+D29</f>
        <v>55569.635994550408</v>
      </c>
      <c r="E27" s="21">
        <f>E28+E29</f>
        <v>11.1716621253406</v>
      </c>
      <c r="F27" s="20">
        <f>F28+F29</f>
        <v>49806.111825613079</v>
      </c>
      <c r="G27" s="19">
        <f>G28+G29</f>
        <v>22176.2</v>
      </c>
    </row>
    <row r="28" spans="1:7">
      <c r="A28" s="30"/>
      <c r="B28" s="29" t="s">
        <v>15</v>
      </c>
      <c r="C28" s="28">
        <v>0.84</v>
      </c>
      <c r="D28" s="27">
        <f>C28/C39*D39</f>
        <v>28462.496485013624</v>
      </c>
      <c r="E28" s="27">
        <f>D28/$D$35*100</f>
        <v>5.7220708446866482</v>
      </c>
      <c r="F28" s="27">
        <f>C28/C39*F39</f>
        <v>25510.447520435966</v>
      </c>
      <c r="G28" s="26">
        <v>4652</v>
      </c>
    </row>
    <row r="29" spans="1:7">
      <c r="A29" s="30"/>
      <c r="B29" s="29" t="s">
        <v>14</v>
      </c>
      <c r="C29" s="28">
        <v>0.8</v>
      </c>
      <c r="D29" s="27">
        <f>C29/C39*D39</f>
        <v>27107.139509536788</v>
      </c>
      <c r="E29" s="27">
        <f>D29/$D$35*100</f>
        <v>5.4495912806539515</v>
      </c>
      <c r="F29" s="27">
        <f>C29/C39*F39</f>
        <v>24295.664305177113</v>
      </c>
      <c r="G29" s="26">
        <v>17524.2</v>
      </c>
    </row>
    <row r="30" spans="1:7" ht="19.5">
      <c r="A30" s="23" t="s">
        <v>13</v>
      </c>
      <c r="B30" s="22" t="s">
        <v>12</v>
      </c>
      <c r="C30" s="10">
        <v>1.21</v>
      </c>
      <c r="D30" s="25">
        <f>C30/C39*D39</f>
        <v>40999.548508174383</v>
      </c>
      <c r="E30" s="25">
        <f>D30/$D$35*100</f>
        <v>8.2425068119891005</v>
      </c>
      <c r="F30" s="25">
        <f>C30/C39*F39</f>
        <v>36747.192261580378</v>
      </c>
      <c r="G30" s="19">
        <f>1.29*G11*12</f>
        <v>39221.675999999999</v>
      </c>
    </row>
    <row r="31" spans="1:7" ht="19.5">
      <c r="A31" s="23" t="s">
        <v>11</v>
      </c>
      <c r="B31" s="22" t="s">
        <v>10</v>
      </c>
      <c r="C31" s="10">
        <f>C32+C33</f>
        <v>2.8600000000000003</v>
      </c>
      <c r="D31" s="21">
        <f>SUM(D32:D33)</f>
        <v>96908.023746594001</v>
      </c>
      <c r="E31" s="21">
        <f>SUM(E32:E33)</f>
        <v>19.482288828337875</v>
      </c>
      <c r="F31" s="20">
        <f>SUM(F32:F33)</f>
        <v>86856.999891008178</v>
      </c>
      <c r="G31" s="19">
        <f>G32+G33</f>
        <v>188203.23599999998</v>
      </c>
    </row>
    <row r="32" spans="1:7" ht="19.5">
      <c r="A32" s="18"/>
      <c r="B32" s="29" t="s">
        <v>65</v>
      </c>
      <c r="C32" s="28">
        <v>2.08</v>
      </c>
      <c r="D32" s="27">
        <f>C32/C39*D39</f>
        <v>70478.562724795644</v>
      </c>
      <c r="E32" s="27">
        <f>D32/$D$35*100</f>
        <v>14.168937329700274</v>
      </c>
      <c r="F32" s="27">
        <f>C32/C39*F39</f>
        <v>63168.727193460494</v>
      </c>
      <c r="G32" s="31">
        <f>2.26*G11*12</f>
        <v>68713.943999999989</v>
      </c>
    </row>
    <row r="33" spans="1:7">
      <c r="A33" s="30"/>
      <c r="B33" s="29" t="s">
        <v>66</v>
      </c>
      <c r="C33" s="28">
        <v>0.78</v>
      </c>
      <c r="D33" s="27">
        <f>C33/C39*D39</f>
        <v>26429.461021798365</v>
      </c>
      <c r="E33" s="27">
        <f>D33/$D$35*100</f>
        <v>5.3133514986376023</v>
      </c>
      <c r="F33" s="27">
        <f>C33/C39*F39</f>
        <v>23688.272697547683</v>
      </c>
      <c r="G33" s="26">
        <f xml:space="preserve"> 3.93*G11*12</f>
        <v>119489.29199999999</v>
      </c>
    </row>
    <row r="34" spans="1:7" ht="19.5">
      <c r="A34" s="23" t="s">
        <v>8</v>
      </c>
      <c r="B34" s="22" t="s">
        <v>7</v>
      </c>
      <c r="C34" s="10">
        <v>0.8</v>
      </c>
      <c r="D34" s="25">
        <f>C34/C39*D39</f>
        <v>27107.139509536788</v>
      </c>
      <c r="E34" s="25">
        <f>D34/$D$35*100</f>
        <v>5.4495912806539515</v>
      </c>
      <c r="F34" s="25">
        <f>C34/C39*F39</f>
        <v>24295.664305177113</v>
      </c>
      <c r="G34" s="19">
        <f xml:space="preserve"> 1.01*G11*12</f>
        <v>30708.443999999996</v>
      </c>
    </row>
    <row r="35" spans="1:7" ht="19.5">
      <c r="A35" s="23"/>
      <c r="B35" s="22" t="s">
        <v>6</v>
      </c>
      <c r="C35" s="10">
        <f>C17+C24+C27+C30+C31+C34</f>
        <v>14.68</v>
      </c>
      <c r="D35" s="21">
        <f>(D17+D24+D27+D30+D31+D34)</f>
        <v>497416.01</v>
      </c>
      <c r="E35" s="24">
        <f>D35/$D$35*100</f>
        <v>100</v>
      </c>
      <c r="F35" s="20">
        <f>F17+F24+F27+F30+F31+F34</f>
        <v>445825.44</v>
      </c>
      <c r="G35" s="19">
        <f>G17+G24+G27+G30+G31+G34</f>
        <v>497431.54</v>
      </c>
    </row>
    <row r="36" spans="1:7" ht="19.5">
      <c r="A36" s="18"/>
      <c r="B36" s="17"/>
      <c r="C36" s="16"/>
      <c r="D36" s="15"/>
      <c r="E36" s="15">
        <f>D36/$D$35*100</f>
        <v>0</v>
      </c>
      <c r="F36" s="15"/>
      <c r="G36" s="15"/>
    </row>
    <row r="37" spans="1:7" ht="19.5">
      <c r="A37" s="23"/>
      <c r="B37" s="22"/>
      <c r="C37" s="10"/>
      <c r="D37" s="21"/>
      <c r="E37" s="21">
        <f>E35*18/100</f>
        <v>18</v>
      </c>
      <c r="F37" s="20"/>
      <c r="G37" s="19"/>
    </row>
    <row r="38" spans="1:7" ht="19.5">
      <c r="A38" s="18"/>
      <c r="B38" s="17"/>
      <c r="C38" s="16"/>
      <c r="D38" s="15"/>
      <c r="E38" s="15"/>
      <c r="F38" s="14"/>
      <c r="G38" s="13"/>
    </row>
    <row r="39" spans="1:7" ht="20.25" thickBot="1">
      <c r="A39" s="12"/>
      <c r="B39" s="11" t="s">
        <v>5</v>
      </c>
      <c r="C39" s="10">
        <f>C35+C36</f>
        <v>14.68</v>
      </c>
      <c r="D39" s="9">
        <v>497416.01</v>
      </c>
      <c r="E39" s="9">
        <f>E35+E37</f>
        <v>118</v>
      </c>
      <c r="F39" s="8">
        <v>445825.44</v>
      </c>
      <c r="G39" s="7">
        <f>G35+G36</f>
        <v>497431.54</v>
      </c>
    </row>
    <row r="40" spans="1:7">
      <c r="D40" s="2" t="s">
        <v>4</v>
      </c>
      <c r="F40" s="6">
        <f>F39/D39</f>
        <v>0.89628285185271783</v>
      </c>
    </row>
    <row r="42" spans="1:7" ht="18.75">
      <c r="A42" s="5"/>
      <c r="B42" s="4" t="s">
        <v>53</v>
      </c>
      <c r="C42" s="3">
        <v>199607.51</v>
      </c>
      <c r="D42" s="3" t="s">
        <v>1</v>
      </c>
    </row>
    <row r="43" spans="1:7" ht="18.75">
      <c r="A43" s="5"/>
      <c r="B43" s="4" t="s">
        <v>54</v>
      </c>
      <c r="C43" s="3">
        <f>D39-F39</f>
        <v>51590.570000000007</v>
      </c>
      <c r="D43" s="3" t="s">
        <v>1</v>
      </c>
    </row>
    <row r="44" spans="1:7" ht="18.75">
      <c r="A44" s="5"/>
      <c r="B44" s="4" t="s">
        <v>2</v>
      </c>
      <c r="C44" s="3">
        <f>C42+C43</f>
        <v>251198.08000000002</v>
      </c>
      <c r="D44" s="3" t="s">
        <v>1</v>
      </c>
    </row>
    <row r="45" spans="1:7" ht="18.75">
      <c r="A45" s="5"/>
      <c r="B45" s="4"/>
      <c r="C45" s="3"/>
      <c r="D45" s="3"/>
      <c r="E45" s="1"/>
      <c r="F45" s="1"/>
      <c r="G45" s="1"/>
    </row>
    <row r="50" spans="2:7">
      <c r="B50" s="1" t="s">
        <v>0</v>
      </c>
      <c r="E50" s="1"/>
      <c r="F50" s="1"/>
      <c r="G50" s="1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9"/>
  <sheetViews>
    <sheetView topLeftCell="A8" zoomScale="75" zoomScaleNormal="50" workbookViewId="0">
      <selection activeCell="G33" sqref="G33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5"/>
      <c r="B1" s="75"/>
      <c r="C1" s="74"/>
      <c r="D1" s="74"/>
      <c r="E1" s="74"/>
      <c r="F1" s="74"/>
      <c r="G1" s="74"/>
    </row>
    <row r="2" spans="1:7" ht="18.75">
      <c r="A2" s="75"/>
      <c r="B2" s="75"/>
      <c r="C2" s="74"/>
      <c r="D2" s="74"/>
      <c r="E2" s="74"/>
      <c r="F2" s="74"/>
      <c r="G2" s="74"/>
    </row>
    <row r="3" spans="1:7" ht="18.75">
      <c r="A3" s="75"/>
      <c r="B3" s="75"/>
      <c r="C3" s="74"/>
      <c r="D3" s="74"/>
      <c r="E3" s="74"/>
      <c r="F3" s="74"/>
      <c r="G3" s="74"/>
    </row>
    <row r="4" spans="1:7" ht="18.75">
      <c r="A4" s="75"/>
      <c r="B4" s="75"/>
      <c r="C4" s="74"/>
      <c r="D4" s="74"/>
      <c r="E4" s="74"/>
      <c r="F4" s="74"/>
      <c r="G4" s="74"/>
    </row>
    <row r="5" spans="1:7" ht="18.75">
      <c r="A5" s="75"/>
      <c r="B5" s="75"/>
      <c r="C5" s="74"/>
      <c r="D5" s="74"/>
      <c r="E5" s="74"/>
      <c r="F5" s="74"/>
      <c r="G5" s="74"/>
    </row>
    <row r="6" spans="1:7" ht="18.75">
      <c r="A6" s="75"/>
      <c r="B6" s="75"/>
      <c r="C6" s="74"/>
      <c r="D6" s="74"/>
      <c r="E6" s="74"/>
      <c r="F6" s="74"/>
      <c r="G6" s="74"/>
    </row>
    <row r="7" spans="1:7" ht="18.75">
      <c r="A7" s="76" t="s">
        <v>39</v>
      </c>
      <c r="B7" s="76"/>
      <c r="C7" s="76"/>
      <c r="D7" s="76"/>
      <c r="E7" s="76"/>
      <c r="F7" s="76"/>
      <c r="G7" s="76"/>
    </row>
    <row r="8" spans="1:7" ht="18.75">
      <c r="A8" s="76" t="s">
        <v>44</v>
      </c>
      <c r="B8" s="76"/>
      <c r="C8" s="76"/>
      <c r="D8" s="76"/>
      <c r="E8" s="76"/>
      <c r="F8" s="76"/>
      <c r="G8" s="76"/>
    </row>
    <row r="9" spans="1:7" ht="18.75">
      <c r="A9" s="76" t="s">
        <v>52</v>
      </c>
      <c r="B9" s="76"/>
      <c r="C9" s="76"/>
      <c r="D9" s="76"/>
      <c r="E9" s="76"/>
      <c r="F9" s="76"/>
      <c r="G9" s="76"/>
    </row>
    <row r="10" spans="1:7" ht="18.75">
      <c r="A10" s="73"/>
      <c r="B10" s="73"/>
      <c r="C10" s="72"/>
      <c r="D10" s="72"/>
      <c r="E10" s="72"/>
      <c r="F10" s="72"/>
      <c r="G10" s="72"/>
    </row>
    <row r="11" spans="1:7" ht="16.5" thickBot="1">
      <c r="A11" s="70"/>
      <c r="B11" s="71"/>
      <c r="C11" s="70"/>
      <c r="D11" s="70"/>
      <c r="E11" s="70"/>
      <c r="F11" s="70"/>
      <c r="G11" s="70">
        <v>2914.3</v>
      </c>
    </row>
    <row r="12" spans="1:7" ht="16.5" thickBot="1">
      <c r="A12" s="80" t="s">
        <v>37</v>
      </c>
      <c r="B12" s="82" t="s">
        <v>36</v>
      </c>
      <c r="C12" s="77" t="s">
        <v>35</v>
      </c>
      <c r="D12" s="78"/>
      <c r="E12" s="78"/>
      <c r="F12" s="79"/>
      <c r="G12" s="84" t="s">
        <v>34</v>
      </c>
    </row>
    <row r="13" spans="1:7">
      <c r="A13" s="81"/>
      <c r="B13" s="83"/>
      <c r="C13" s="69" t="s">
        <v>33</v>
      </c>
      <c r="D13" s="68" t="s">
        <v>32</v>
      </c>
      <c r="E13" s="67"/>
      <c r="F13" s="66" t="s">
        <v>31</v>
      </c>
      <c r="G13" s="85"/>
    </row>
    <row r="14" spans="1:7">
      <c r="A14" s="65"/>
      <c r="B14" s="64"/>
      <c r="C14" s="63"/>
      <c r="D14" s="62"/>
      <c r="E14" s="61"/>
      <c r="F14" s="60"/>
      <c r="G14" s="59"/>
    </row>
    <row r="15" spans="1:7" ht="19.5">
      <c r="A15" s="53" t="s">
        <v>30</v>
      </c>
      <c r="B15" s="52" t="s">
        <v>29</v>
      </c>
      <c r="C15" s="51"/>
      <c r="D15" s="50"/>
      <c r="E15" s="49"/>
      <c r="F15" s="48"/>
      <c r="G15" s="47"/>
    </row>
    <row r="16" spans="1:7" ht="19.5">
      <c r="A16" s="46"/>
      <c r="B16" s="45" t="s">
        <v>28</v>
      </c>
      <c r="C16" s="44"/>
      <c r="D16" s="43"/>
      <c r="E16" s="42"/>
      <c r="F16" s="41"/>
      <c r="G16" s="40"/>
    </row>
    <row r="17" spans="1:7" ht="19.5">
      <c r="A17" s="39"/>
      <c r="B17" s="38" t="s">
        <v>27</v>
      </c>
      <c r="C17" s="37">
        <f>C18+C19+C20+C21</f>
        <v>5.0599999999999996</v>
      </c>
      <c r="D17" s="36">
        <f>SUM(D18:D21)</f>
        <v>176956.74880195598</v>
      </c>
      <c r="E17" s="36">
        <f>SUM(E18:E21)</f>
        <v>30.929095354523223</v>
      </c>
      <c r="F17" s="35">
        <f>SUM(F18:F21)</f>
        <v>174325.91995110025</v>
      </c>
      <c r="G17" s="34">
        <f>G18+G19+G20+G21</f>
        <v>152476.17600000001</v>
      </c>
    </row>
    <row r="18" spans="1:7">
      <c r="A18" s="30"/>
      <c r="B18" s="32" t="s">
        <v>26</v>
      </c>
      <c r="C18" s="33">
        <v>2.58</v>
      </c>
      <c r="D18" s="27">
        <f>C18/C39*D39</f>
        <v>90226.958875305616</v>
      </c>
      <c r="E18" s="27">
        <f>D18/$D$35*100</f>
        <v>15.770171149144252</v>
      </c>
      <c r="F18" s="27">
        <f>C18/C39*F39</f>
        <v>88885.548117359416</v>
      </c>
      <c r="G18" s="58">
        <f>2.33*G11*12</f>
        <v>81483.828000000009</v>
      </c>
    </row>
    <row r="19" spans="1:7">
      <c r="A19" s="30"/>
      <c r="B19" s="32" t="s">
        <v>25</v>
      </c>
      <c r="C19" s="28">
        <v>1.75</v>
      </c>
      <c r="D19" s="27">
        <f>C19/C39*D39</f>
        <v>61200.456601466991</v>
      </c>
      <c r="E19" s="27">
        <f>D19/$D$35*100</f>
        <v>10.696821515892418</v>
      </c>
      <c r="F19" s="27">
        <f>C19/C39*F39</f>
        <v>60290.584963325186</v>
      </c>
      <c r="G19" s="58">
        <f>1.4*G11*12</f>
        <v>48960.24</v>
      </c>
    </row>
    <row r="20" spans="1:7">
      <c r="A20" s="30">
        <v>0</v>
      </c>
      <c r="B20" s="32" t="s">
        <v>24</v>
      </c>
      <c r="C20" s="28">
        <v>0.69</v>
      </c>
      <c r="D20" s="27">
        <f>C20/C39*D39</f>
        <v>24130.465745721271</v>
      </c>
      <c r="E20" s="27">
        <f>D20/$D$35*100</f>
        <v>4.2176039119804392</v>
      </c>
      <c r="F20" s="27">
        <f>C20/C39*F39</f>
        <v>23771.716356968212</v>
      </c>
      <c r="G20" s="58">
        <f>0.63*G11*12</f>
        <v>22032.108</v>
      </c>
    </row>
    <row r="21" spans="1:7">
      <c r="A21" s="57"/>
      <c r="B21" s="56" t="s">
        <v>23</v>
      </c>
      <c r="C21" s="55">
        <v>0.04</v>
      </c>
      <c r="D21" s="27">
        <f>C21/C39*D39</f>
        <v>1398.8675794621026</v>
      </c>
      <c r="E21" s="27">
        <f>D21/$D$35*100</f>
        <v>0.24449877750611243</v>
      </c>
      <c r="F21" s="27">
        <f>C21/C39*F39</f>
        <v>1378.0705134474326</v>
      </c>
      <c r="G21" s="54">
        <v>0</v>
      </c>
    </row>
    <row r="22" spans="1:7" ht="19.5">
      <c r="A22" s="53" t="s">
        <v>22</v>
      </c>
      <c r="B22" s="52" t="s">
        <v>21</v>
      </c>
      <c r="C22" s="51"/>
      <c r="D22" s="50"/>
      <c r="E22" s="49"/>
      <c r="F22" s="48"/>
      <c r="G22" s="47"/>
    </row>
    <row r="23" spans="1:7" ht="19.5">
      <c r="A23" s="46"/>
      <c r="B23" s="45" t="s">
        <v>20</v>
      </c>
      <c r="C23" s="44"/>
      <c r="D23" s="43"/>
      <c r="E23" s="42"/>
      <c r="F23" s="41"/>
      <c r="G23" s="40"/>
    </row>
    <row r="24" spans="1:7" ht="19.5">
      <c r="A24" s="39"/>
      <c r="B24" s="38"/>
      <c r="C24" s="37">
        <f>C25+C26</f>
        <v>3.11</v>
      </c>
      <c r="D24" s="36">
        <f>D25+D26</f>
        <v>108761.95430317849</v>
      </c>
      <c r="E24" s="36">
        <f>E25+E26</f>
        <v>19.009779951100242</v>
      </c>
      <c r="F24" s="35">
        <f>F25+F26</f>
        <v>107144.98242053788</v>
      </c>
      <c r="G24" s="34">
        <f>G25+G26</f>
        <v>63509.4</v>
      </c>
    </row>
    <row r="25" spans="1:7">
      <c r="A25" s="30"/>
      <c r="B25" s="32" t="s">
        <v>19</v>
      </c>
      <c r="C25" s="33">
        <v>2.36</v>
      </c>
      <c r="D25" s="27">
        <f>C25/C39*D39</f>
        <v>82533.187188264055</v>
      </c>
      <c r="E25" s="27">
        <f>D25/$D$35*100</f>
        <v>14.425427872860633</v>
      </c>
      <c r="F25" s="27">
        <f>C25/C39*F39</f>
        <v>81306.160293398527</v>
      </c>
      <c r="G25" s="26">
        <v>45077</v>
      </c>
    </row>
    <row r="26" spans="1:7">
      <c r="A26" s="30"/>
      <c r="B26" s="32" t="s">
        <v>18</v>
      </c>
      <c r="C26" s="28">
        <v>0.75</v>
      </c>
      <c r="D26" s="27">
        <f>C26/C39*D39</f>
        <v>26228.767114914426</v>
      </c>
      <c r="E26" s="27">
        <f>D26/$D$35*100</f>
        <v>4.5843520782396086</v>
      </c>
      <c r="F26" s="27">
        <f>C26/C39*F39</f>
        <v>25838.822127139363</v>
      </c>
      <c r="G26" s="26">
        <f>26332-G29</f>
        <v>18432.400000000001</v>
      </c>
    </row>
    <row r="27" spans="1:7" ht="19.5">
      <c r="A27" s="23" t="s">
        <v>17</v>
      </c>
      <c r="B27" s="22" t="s">
        <v>16</v>
      </c>
      <c r="C27" s="10">
        <f>C28+C29</f>
        <v>1.6400000000000001</v>
      </c>
      <c r="D27" s="21">
        <f>D28+D29</f>
        <v>57353.570757946211</v>
      </c>
      <c r="E27" s="21">
        <f>E28+E29</f>
        <v>10.024449877750609</v>
      </c>
      <c r="F27" s="20">
        <f>F28+F29</f>
        <v>56500.891051344748</v>
      </c>
      <c r="G27" s="19">
        <f>G28+G29</f>
        <v>9992.6</v>
      </c>
    </row>
    <row r="28" spans="1:7">
      <c r="A28" s="30"/>
      <c r="B28" s="29" t="s">
        <v>15</v>
      </c>
      <c r="C28" s="28">
        <v>0.84</v>
      </c>
      <c r="D28" s="27">
        <f>C28/C39*D39</f>
        <v>29376.219168704156</v>
      </c>
      <c r="E28" s="27">
        <f>D28/$D$35*100</f>
        <v>5.1344743276283609</v>
      </c>
      <c r="F28" s="27">
        <f>C28/C39*F39</f>
        <v>28939.480782396087</v>
      </c>
      <c r="G28" s="26">
        <v>2093</v>
      </c>
    </row>
    <row r="29" spans="1:7">
      <c r="A29" s="30"/>
      <c r="B29" s="29" t="s">
        <v>14</v>
      </c>
      <c r="C29" s="28">
        <v>0.8</v>
      </c>
      <c r="D29" s="27">
        <f>C29/C39*D39</f>
        <v>27977.351589242055</v>
      </c>
      <c r="E29" s="27">
        <f>D29/$D$35*100</f>
        <v>4.8899755501222488</v>
      </c>
      <c r="F29" s="27">
        <f>C29/C39*F39</f>
        <v>27561.410268948657</v>
      </c>
      <c r="G29" s="26">
        <v>7899.6</v>
      </c>
    </row>
    <row r="30" spans="1:7" ht="19.5">
      <c r="A30" s="23" t="s">
        <v>13</v>
      </c>
      <c r="B30" s="22" t="s">
        <v>12</v>
      </c>
      <c r="C30" s="10">
        <v>1.21</v>
      </c>
      <c r="D30" s="25">
        <f>C30/C39*D39</f>
        <v>42315.744278728598</v>
      </c>
      <c r="E30" s="25">
        <f>D30/$D$35*100</f>
        <v>7.3960880195599001</v>
      </c>
      <c r="F30" s="25">
        <f>C30/C39*F39</f>
        <v>41686.633031784833</v>
      </c>
      <c r="G30" s="19">
        <f>1.29*G11*12</f>
        <v>45113.364000000001</v>
      </c>
    </row>
    <row r="31" spans="1:7" ht="19.5">
      <c r="A31" s="23" t="s">
        <v>11</v>
      </c>
      <c r="B31" s="22" t="s">
        <v>10</v>
      </c>
      <c r="C31" s="10">
        <f>C32+C33</f>
        <v>4.54</v>
      </c>
      <c r="D31" s="21">
        <f>SUM(D32:D33)</f>
        <v>158771.47026894864</v>
      </c>
      <c r="E31" s="21">
        <f>SUM(E32:E33)</f>
        <v>27.750611246943762</v>
      </c>
      <c r="F31" s="20">
        <f>SUM(F32:F33)</f>
        <v>156411.00327628362</v>
      </c>
      <c r="G31" s="19">
        <f>G32+G33</f>
        <v>216474.20400000003</v>
      </c>
    </row>
    <row r="32" spans="1:7" ht="19.5">
      <c r="A32" s="18"/>
      <c r="B32" s="29" t="s">
        <v>9</v>
      </c>
      <c r="C32" s="28">
        <v>1.38</v>
      </c>
      <c r="D32" s="27">
        <f>C32/C39*D39</f>
        <v>48260.931491442541</v>
      </c>
      <c r="E32" s="27">
        <f>D32/$D$35*100</f>
        <v>8.4352078239608783</v>
      </c>
      <c r="F32" s="27">
        <f>C32/C39*F39</f>
        <v>47543.432713936425</v>
      </c>
      <c r="G32" s="31">
        <f>2.26*G11*12</f>
        <v>79035.816000000006</v>
      </c>
    </row>
    <row r="33" spans="1:7">
      <c r="A33" s="30"/>
      <c r="B33" s="29" t="s">
        <v>55</v>
      </c>
      <c r="C33" s="28">
        <v>3.16</v>
      </c>
      <c r="D33" s="27">
        <f>C33/C39*D39</f>
        <v>110510.53877750611</v>
      </c>
      <c r="E33" s="27">
        <f>D33/$D$35*100</f>
        <v>19.315403422982882</v>
      </c>
      <c r="F33" s="27">
        <f>C33/C39*F39</f>
        <v>108867.57056234719</v>
      </c>
      <c r="G33" s="26">
        <f xml:space="preserve"> 3.93*G11*12</f>
        <v>137438.38800000001</v>
      </c>
    </row>
    <row r="34" spans="1:7" ht="19.5">
      <c r="A34" s="23" t="s">
        <v>8</v>
      </c>
      <c r="B34" s="22" t="s">
        <v>7</v>
      </c>
      <c r="C34" s="10">
        <v>0.8</v>
      </c>
      <c r="D34" s="25">
        <f>C34/C39*D39</f>
        <v>27977.351589242055</v>
      </c>
      <c r="E34" s="25">
        <f>D34/$D$35*100</f>
        <v>4.8899755501222488</v>
      </c>
      <c r="F34" s="25">
        <f>C34/C39*F39</f>
        <v>27561.410268948657</v>
      </c>
      <c r="G34" s="19">
        <f xml:space="preserve"> 1.01*G11*12</f>
        <v>35321.316000000006</v>
      </c>
    </row>
    <row r="35" spans="1:7" ht="19.5">
      <c r="A35" s="23"/>
      <c r="B35" s="22" t="s">
        <v>6</v>
      </c>
      <c r="C35" s="10">
        <f>C17+C24+C27+C30+C31+C34</f>
        <v>16.36</v>
      </c>
      <c r="D35" s="21">
        <f>(D17+D24+D27+D30+D31+D34)</f>
        <v>572136.84000000008</v>
      </c>
      <c r="E35" s="24">
        <f>D35/$D$35*100</f>
        <v>100</v>
      </c>
      <c r="F35" s="20">
        <f>F17+F24+F27+F30+F31+F34</f>
        <v>563630.84</v>
      </c>
      <c r="G35" s="19">
        <f>G17+G24+G27+G30+G31+G34</f>
        <v>522887.06000000006</v>
      </c>
    </row>
    <row r="36" spans="1:7" ht="19.5">
      <c r="A36" s="18"/>
      <c r="B36" s="17"/>
      <c r="C36" s="16"/>
      <c r="D36" s="15"/>
      <c r="E36" s="15">
        <f>D36/$D$35*100</f>
        <v>0</v>
      </c>
      <c r="F36" s="15"/>
      <c r="G36" s="15"/>
    </row>
    <row r="37" spans="1:7" ht="19.5">
      <c r="A37" s="23"/>
      <c r="B37" s="22"/>
      <c r="C37" s="10"/>
      <c r="D37" s="21"/>
      <c r="E37" s="21">
        <f>E35*18/100</f>
        <v>18</v>
      </c>
      <c r="F37" s="20"/>
      <c r="G37" s="19"/>
    </row>
    <row r="38" spans="1:7" ht="19.5">
      <c r="A38" s="18"/>
      <c r="B38" s="17"/>
      <c r="C38" s="16"/>
      <c r="D38" s="15"/>
      <c r="E38" s="15"/>
      <c r="F38" s="14"/>
      <c r="G38" s="13"/>
    </row>
    <row r="39" spans="1:7" ht="20.25" thickBot="1">
      <c r="A39" s="12"/>
      <c r="B39" s="11" t="s">
        <v>5</v>
      </c>
      <c r="C39" s="10">
        <f>C35+C36</f>
        <v>16.36</v>
      </c>
      <c r="D39" s="9">
        <v>572136.84</v>
      </c>
      <c r="E39" s="9">
        <f>E35+E37</f>
        <v>118</v>
      </c>
      <c r="F39" s="8">
        <v>563630.84</v>
      </c>
      <c r="G39" s="7">
        <f>G35+G36</f>
        <v>522887.06000000006</v>
      </c>
    </row>
    <row r="40" spans="1:7">
      <c r="D40" s="2" t="s">
        <v>4</v>
      </c>
      <c r="F40" s="6">
        <f>F39/D39</f>
        <v>0.98513292729061108</v>
      </c>
    </row>
    <row r="41" spans="1:7">
      <c r="C41" s="2" t="s">
        <v>43</v>
      </c>
      <c r="G41" s="2">
        <f>F39-G39</f>
        <v>40743.779999999912</v>
      </c>
    </row>
    <row r="42" spans="1:7" ht="18.75">
      <c r="A42" s="5"/>
      <c r="B42" s="4" t="s">
        <v>53</v>
      </c>
      <c r="C42" s="3">
        <v>253914.44</v>
      </c>
      <c r="D42" s="3" t="s">
        <v>1</v>
      </c>
    </row>
    <row r="43" spans="1:7" ht="18.75">
      <c r="A43" s="5"/>
      <c r="B43" s="4" t="s">
        <v>54</v>
      </c>
      <c r="C43" s="3">
        <f>D39-F39</f>
        <v>8506</v>
      </c>
      <c r="D43" s="3" t="s">
        <v>1</v>
      </c>
    </row>
    <row r="44" spans="1:7" ht="18.75">
      <c r="A44" s="5"/>
      <c r="B44" s="4" t="s">
        <v>2</v>
      </c>
      <c r="C44" s="3">
        <f>C42+C43</f>
        <v>262420.44</v>
      </c>
      <c r="D44" s="3" t="s">
        <v>1</v>
      </c>
    </row>
    <row r="45" spans="1:7" ht="18.75">
      <c r="A45" s="5"/>
      <c r="B45" s="4"/>
      <c r="C45" s="3"/>
      <c r="D45" s="3"/>
      <c r="E45" s="1"/>
      <c r="F45" s="1"/>
      <c r="G45" s="1"/>
    </row>
    <row r="49" spans="2:7">
      <c r="B49" s="1" t="s">
        <v>0</v>
      </c>
      <c r="E49" s="1"/>
      <c r="F49" s="1"/>
      <c r="G49" s="1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9"/>
  <sheetViews>
    <sheetView topLeftCell="A10" zoomScale="75" zoomScaleNormal="50" workbookViewId="0">
      <selection activeCell="I41" sqref="I41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5"/>
      <c r="B1" s="75"/>
      <c r="C1" s="74"/>
      <c r="D1" s="74"/>
      <c r="E1" s="74"/>
      <c r="F1" s="74"/>
      <c r="G1" s="74"/>
    </row>
    <row r="2" spans="1:7" ht="18.75">
      <c r="A2" s="75"/>
      <c r="B2" s="75"/>
      <c r="C2" s="74"/>
      <c r="D2" s="74"/>
      <c r="E2" s="74"/>
      <c r="F2" s="74"/>
      <c r="G2" s="74"/>
    </row>
    <row r="3" spans="1:7" ht="18.75">
      <c r="A3" s="75"/>
      <c r="B3" s="75"/>
      <c r="C3" s="74"/>
      <c r="D3" s="74"/>
      <c r="E3" s="74"/>
      <c r="F3" s="74"/>
      <c r="G3" s="74"/>
    </row>
    <row r="4" spans="1:7" ht="18.75">
      <c r="A4" s="75"/>
      <c r="B4" s="75"/>
      <c r="C4" s="74"/>
      <c r="D4" s="74"/>
      <c r="E4" s="74"/>
      <c r="F4" s="74"/>
      <c r="G4" s="74"/>
    </row>
    <row r="5" spans="1:7" ht="18.75">
      <c r="A5" s="75"/>
      <c r="B5" s="75"/>
      <c r="C5" s="74"/>
      <c r="D5" s="74"/>
      <c r="E5" s="74"/>
      <c r="F5" s="74"/>
      <c r="G5" s="74"/>
    </row>
    <row r="6" spans="1:7" ht="18.75">
      <c r="A6" s="75"/>
      <c r="B6" s="75"/>
      <c r="C6" s="74"/>
      <c r="D6" s="74"/>
      <c r="E6" s="74"/>
      <c r="F6" s="74"/>
      <c r="G6" s="74"/>
    </row>
    <row r="7" spans="1:7" ht="18.75">
      <c r="A7" s="76" t="s">
        <v>39</v>
      </c>
      <c r="B7" s="76"/>
      <c r="C7" s="76"/>
      <c r="D7" s="76"/>
      <c r="E7" s="76"/>
      <c r="F7" s="76"/>
      <c r="G7" s="76"/>
    </row>
    <row r="8" spans="1:7" ht="18.75">
      <c r="A8" s="76" t="s">
        <v>45</v>
      </c>
      <c r="B8" s="76"/>
      <c r="C8" s="76"/>
      <c r="D8" s="76"/>
      <c r="E8" s="76"/>
      <c r="F8" s="76"/>
      <c r="G8" s="76"/>
    </row>
    <row r="9" spans="1:7" ht="18.75">
      <c r="A9" s="76" t="s">
        <v>52</v>
      </c>
      <c r="B9" s="76"/>
      <c r="C9" s="76"/>
      <c r="D9" s="76"/>
      <c r="E9" s="76"/>
      <c r="F9" s="76"/>
      <c r="G9" s="76"/>
    </row>
    <row r="10" spans="1:7" ht="18.75">
      <c r="A10" s="73"/>
      <c r="B10" s="73"/>
      <c r="C10" s="72"/>
      <c r="D10" s="72"/>
      <c r="E10" s="72"/>
      <c r="F10" s="72"/>
      <c r="G10" s="72"/>
    </row>
    <row r="11" spans="1:7" ht="16.5" thickBot="1">
      <c r="A11" s="70"/>
      <c r="B11" s="71"/>
      <c r="C11" s="70"/>
      <c r="D11" s="70"/>
      <c r="E11" s="70"/>
      <c r="F11" s="70"/>
      <c r="G11" s="70">
        <v>3206.5</v>
      </c>
    </row>
    <row r="12" spans="1:7" ht="16.5" thickBot="1">
      <c r="A12" s="80" t="s">
        <v>37</v>
      </c>
      <c r="B12" s="82" t="s">
        <v>36</v>
      </c>
      <c r="C12" s="77" t="s">
        <v>35</v>
      </c>
      <c r="D12" s="78"/>
      <c r="E12" s="78"/>
      <c r="F12" s="79"/>
      <c r="G12" s="84" t="s">
        <v>34</v>
      </c>
    </row>
    <row r="13" spans="1:7">
      <c r="A13" s="81"/>
      <c r="B13" s="83"/>
      <c r="C13" s="69" t="s">
        <v>33</v>
      </c>
      <c r="D13" s="68" t="s">
        <v>32</v>
      </c>
      <c r="E13" s="67"/>
      <c r="F13" s="66" t="s">
        <v>31</v>
      </c>
      <c r="G13" s="85"/>
    </row>
    <row r="14" spans="1:7">
      <c r="A14" s="65"/>
      <c r="B14" s="64"/>
      <c r="C14" s="63"/>
      <c r="D14" s="62"/>
      <c r="E14" s="61"/>
      <c r="F14" s="60"/>
      <c r="G14" s="59"/>
    </row>
    <row r="15" spans="1:7" ht="19.5">
      <c r="A15" s="53" t="s">
        <v>30</v>
      </c>
      <c r="B15" s="52" t="s">
        <v>29</v>
      </c>
      <c r="C15" s="51"/>
      <c r="D15" s="50"/>
      <c r="E15" s="49"/>
      <c r="F15" s="48"/>
      <c r="G15" s="47"/>
    </row>
    <row r="16" spans="1:7" ht="19.5">
      <c r="A16" s="46"/>
      <c r="B16" s="45" t="s">
        <v>28</v>
      </c>
      <c r="C16" s="44"/>
      <c r="D16" s="43"/>
      <c r="E16" s="42"/>
      <c r="F16" s="41"/>
      <c r="G16" s="40"/>
    </row>
    <row r="17" spans="1:7" ht="19.5">
      <c r="A17" s="39"/>
      <c r="B17" s="38" t="s">
        <v>27</v>
      </c>
      <c r="C17" s="37">
        <f>C18+C19+C20+C21</f>
        <v>5.0599999999999996</v>
      </c>
      <c r="D17" s="36">
        <f>SUM(D18:D21)</f>
        <v>194698.77897310516</v>
      </c>
      <c r="E17" s="36">
        <f>SUM(E18:E21)</f>
        <v>30.929095354523231</v>
      </c>
      <c r="F17" s="35">
        <f>SUM(F18:F21)</f>
        <v>199687.58638141808</v>
      </c>
      <c r="G17" s="34">
        <f>G18+G19+G20+G21</f>
        <v>167764.08000000002</v>
      </c>
    </row>
    <row r="18" spans="1:7">
      <c r="A18" s="30"/>
      <c r="B18" s="32" t="s">
        <v>26</v>
      </c>
      <c r="C18" s="33">
        <v>2.58</v>
      </c>
      <c r="D18" s="27">
        <f>C18/C39*D39</f>
        <v>99273.290464547681</v>
      </c>
      <c r="E18" s="27">
        <f>D18/$D$35*100</f>
        <v>15.770171149144256</v>
      </c>
      <c r="F18" s="27">
        <f>C18/C39*F39</f>
        <v>101816.99068459657</v>
      </c>
      <c r="G18" s="58">
        <f>2.33*G11*12</f>
        <v>89653.74</v>
      </c>
    </row>
    <row r="19" spans="1:7">
      <c r="A19" s="30"/>
      <c r="B19" s="32" t="s">
        <v>25</v>
      </c>
      <c r="C19" s="28">
        <v>1.75</v>
      </c>
      <c r="D19" s="27">
        <f>C19/C39*D39</f>
        <v>67336.53422982886</v>
      </c>
      <c r="E19" s="27">
        <f>D19/$D$35*100</f>
        <v>10.696821515892422</v>
      </c>
      <c r="F19" s="27">
        <f>C19/C39*F39</f>
        <v>69061.912286063569</v>
      </c>
      <c r="G19" s="58">
        <f>1.4*G11*12</f>
        <v>53869.2</v>
      </c>
    </row>
    <row r="20" spans="1:7">
      <c r="A20" s="30">
        <v>0</v>
      </c>
      <c r="B20" s="32" t="s">
        <v>24</v>
      </c>
      <c r="C20" s="28">
        <v>0.69</v>
      </c>
      <c r="D20" s="27">
        <f>C20/C39*D39</f>
        <v>26549.833496332518</v>
      </c>
      <c r="E20" s="27">
        <f>D20/$D$35*100</f>
        <v>4.21760391198044</v>
      </c>
      <c r="F20" s="27">
        <f>C20/C39*F39</f>
        <v>27230.125415647919</v>
      </c>
      <c r="G20" s="58">
        <f>0.63*G11*12</f>
        <v>24241.14</v>
      </c>
    </row>
    <row r="21" spans="1:7">
      <c r="A21" s="57"/>
      <c r="B21" s="56" t="s">
        <v>23</v>
      </c>
      <c r="C21" s="55">
        <v>0.04</v>
      </c>
      <c r="D21" s="27">
        <f>C21/C39*D39</f>
        <v>1539.1207823960881</v>
      </c>
      <c r="E21" s="27">
        <f>D21/$D$35*100</f>
        <v>0.24449877750611246</v>
      </c>
      <c r="F21" s="27">
        <f>C21/C39*F39</f>
        <v>1578.5579951100244</v>
      </c>
      <c r="G21" s="54"/>
    </row>
    <row r="22" spans="1:7" ht="19.5">
      <c r="A22" s="53" t="s">
        <v>22</v>
      </c>
      <c r="B22" s="52" t="s">
        <v>21</v>
      </c>
      <c r="C22" s="51"/>
      <c r="D22" s="50"/>
      <c r="E22" s="49"/>
      <c r="F22" s="48"/>
      <c r="G22" s="47"/>
    </row>
    <row r="23" spans="1:7" ht="19.5">
      <c r="A23" s="46"/>
      <c r="B23" s="45" t="s">
        <v>20</v>
      </c>
      <c r="C23" s="44"/>
      <c r="D23" s="43"/>
      <c r="E23" s="42"/>
      <c r="F23" s="41"/>
      <c r="G23" s="40"/>
    </row>
    <row r="24" spans="1:7" ht="19.5">
      <c r="A24" s="39"/>
      <c r="B24" s="38"/>
      <c r="C24" s="37">
        <f>C25+C26</f>
        <v>3.11</v>
      </c>
      <c r="D24" s="36">
        <f>D25+D26</f>
        <v>119666.64083129584</v>
      </c>
      <c r="E24" s="36">
        <f>E25+E26</f>
        <v>19.009779951100246</v>
      </c>
      <c r="F24" s="35">
        <f>F25+F26</f>
        <v>122732.8841198044</v>
      </c>
      <c r="G24" s="34">
        <f>G25+G26</f>
        <v>137475.6</v>
      </c>
    </row>
    <row r="25" spans="1:7">
      <c r="A25" s="30"/>
      <c r="B25" s="32" t="s">
        <v>19</v>
      </c>
      <c r="C25" s="33">
        <v>2.36</v>
      </c>
      <c r="D25" s="27">
        <f>C25/C39*D39</f>
        <v>90808.12616136919</v>
      </c>
      <c r="E25" s="27">
        <f>D25/$D$35*100</f>
        <v>14.425427872860636</v>
      </c>
      <c r="F25" s="27">
        <f>C25/C39*F39</f>
        <v>93134.921711491435</v>
      </c>
      <c r="G25" s="26">
        <v>67017</v>
      </c>
    </row>
    <row r="26" spans="1:7">
      <c r="A26" s="30"/>
      <c r="B26" s="32" t="s">
        <v>18</v>
      </c>
      <c r="C26" s="28">
        <v>0.75</v>
      </c>
      <c r="D26" s="27">
        <f>C26/C39*D39</f>
        <v>28858.514669926652</v>
      </c>
      <c r="E26" s="27">
        <f>D26/$D$35*100</f>
        <v>4.5843520782396094</v>
      </c>
      <c r="F26" s="27">
        <f>C26/C39*F39</f>
        <v>29597.96240831296</v>
      </c>
      <c r="G26" s="26">
        <v>70458.600000000006</v>
      </c>
    </row>
    <row r="27" spans="1:7" ht="19.5">
      <c r="A27" s="23" t="s">
        <v>17</v>
      </c>
      <c r="B27" s="22" t="s">
        <v>16</v>
      </c>
      <c r="C27" s="10">
        <f>C28+C29</f>
        <v>1.6400000000000001</v>
      </c>
      <c r="D27" s="21">
        <f>D28+D29</f>
        <v>63103.952078239614</v>
      </c>
      <c r="E27" s="21">
        <f>E28+E29</f>
        <v>10.024449877750612</v>
      </c>
      <c r="F27" s="20">
        <f>F28+F29</f>
        <v>64720.877799510999</v>
      </c>
      <c r="G27" s="19">
        <f>G28+G29</f>
        <v>119724.4</v>
      </c>
    </row>
    <row r="28" spans="1:7">
      <c r="A28" s="30"/>
      <c r="B28" s="29" t="s">
        <v>15</v>
      </c>
      <c r="C28" s="28">
        <v>0.84</v>
      </c>
      <c r="D28" s="27">
        <f>C28/C39*D39</f>
        <v>32321.53643031785</v>
      </c>
      <c r="E28" s="27">
        <f>D28/$D$35*100</f>
        <v>5.1344743276283618</v>
      </c>
      <c r="F28" s="27">
        <f>C28/C39*F39</f>
        <v>33149.717897310511</v>
      </c>
      <c r="G28" s="26">
        <v>72752</v>
      </c>
    </row>
    <row r="29" spans="1:7">
      <c r="A29" s="30"/>
      <c r="B29" s="29" t="s">
        <v>14</v>
      </c>
      <c r="C29" s="28">
        <v>0.8</v>
      </c>
      <c r="D29" s="27">
        <f>C29/C39*D39</f>
        <v>30782.415647921764</v>
      </c>
      <c r="E29" s="27">
        <f>D29/$D$35*100</f>
        <v>4.8899755501222497</v>
      </c>
      <c r="F29" s="27">
        <f>C29/C39*F39</f>
        <v>31571.159902200488</v>
      </c>
      <c r="G29" s="26">
        <f>117431-G26</f>
        <v>46972.399999999994</v>
      </c>
    </row>
    <row r="30" spans="1:7" ht="19.5">
      <c r="A30" s="23" t="s">
        <v>13</v>
      </c>
      <c r="B30" s="22" t="s">
        <v>12</v>
      </c>
      <c r="C30" s="10">
        <v>1.21</v>
      </c>
      <c r="D30" s="25">
        <f>C30/C39*D39</f>
        <v>46558.40366748166</v>
      </c>
      <c r="E30" s="25">
        <f>D30/$D$35*100</f>
        <v>7.3960880195599019</v>
      </c>
      <c r="F30" s="25">
        <f>C30/C39*F39</f>
        <v>47751.379352078235</v>
      </c>
      <c r="G30" s="19">
        <f>1.29*G11*12</f>
        <v>49636.62</v>
      </c>
    </row>
    <row r="31" spans="1:7" ht="19.5">
      <c r="A31" s="23" t="s">
        <v>11</v>
      </c>
      <c r="B31" s="22" t="s">
        <v>10</v>
      </c>
      <c r="C31" s="10">
        <f>C32+C33</f>
        <v>4.54</v>
      </c>
      <c r="D31" s="21">
        <f>SUM(D32:D33)</f>
        <v>174690.20880195597</v>
      </c>
      <c r="E31" s="21">
        <f>SUM(E32:E33)</f>
        <v>27.750611246943766</v>
      </c>
      <c r="F31" s="20">
        <f>SUM(F32:F33)</f>
        <v>179166.33244498778</v>
      </c>
      <c r="G31" s="19">
        <f>G32+G33</f>
        <v>238178.82</v>
      </c>
    </row>
    <row r="32" spans="1:7" ht="19.5">
      <c r="A32" s="18"/>
      <c r="B32" s="29" t="s">
        <v>67</v>
      </c>
      <c r="C32" s="28">
        <v>1.38</v>
      </c>
      <c r="D32" s="27">
        <f>C32/C39*D39</f>
        <v>53099.666992665036</v>
      </c>
      <c r="E32" s="27">
        <f>D32/$D$35*100</f>
        <v>8.4352078239608801</v>
      </c>
      <c r="F32" s="27">
        <f>C32/C39*F39</f>
        <v>54460.250831295838</v>
      </c>
      <c r="G32" s="31">
        <f>2.26*G11*12</f>
        <v>86960.28</v>
      </c>
    </row>
    <row r="33" spans="1:7">
      <c r="A33" s="30"/>
      <c r="B33" s="29" t="s">
        <v>68</v>
      </c>
      <c r="C33" s="28">
        <v>3.16</v>
      </c>
      <c r="D33" s="27">
        <f>C33/C39*D39</f>
        <v>121590.54180929095</v>
      </c>
      <c r="E33" s="27">
        <f>D33/$D$35*100</f>
        <v>19.315403422982886</v>
      </c>
      <c r="F33" s="27">
        <f>C33/C39*F39</f>
        <v>124706.08161369193</v>
      </c>
      <c r="G33" s="26">
        <f xml:space="preserve"> 3.93*G11*12</f>
        <v>151218.54</v>
      </c>
    </row>
    <row r="34" spans="1:7" ht="19.5">
      <c r="A34" s="23" t="s">
        <v>8</v>
      </c>
      <c r="B34" s="22" t="s">
        <v>7</v>
      </c>
      <c r="C34" s="10">
        <v>0.8</v>
      </c>
      <c r="D34" s="25">
        <f>C34/C39*D39</f>
        <v>30782.415647921764</v>
      </c>
      <c r="E34" s="25">
        <f>D34/$D$35*100</f>
        <v>4.8899755501222497</v>
      </c>
      <c r="F34" s="25">
        <f>C34/C39*F39</f>
        <v>31571.159902200488</v>
      </c>
      <c r="G34" s="19">
        <f xml:space="preserve"> 1.01*G11*12</f>
        <v>38862.78</v>
      </c>
    </row>
    <row r="35" spans="1:7" ht="19.5">
      <c r="A35" s="23"/>
      <c r="B35" s="22" t="s">
        <v>6</v>
      </c>
      <c r="C35" s="10">
        <f>C17+C24+C27+C30+C31+C34</f>
        <v>16.36</v>
      </c>
      <c r="D35" s="21">
        <f>(D17+D24+D27+D30+D31+D34)</f>
        <v>629500.4</v>
      </c>
      <c r="E35" s="24">
        <f>D35/$D$35*100</f>
        <v>100</v>
      </c>
      <c r="F35" s="20">
        <f>F17+F24+F27+F30+F31+F34</f>
        <v>645630.22</v>
      </c>
      <c r="G35" s="19">
        <f>G17+G24+G27+G30+G31+G34</f>
        <v>751642.3</v>
      </c>
    </row>
    <row r="36" spans="1:7" ht="19.5">
      <c r="A36" s="18"/>
      <c r="B36" s="17"/>
      <c r="C36" s="16"/>
      <c r="D36" s="15"/>
      <c r="E36" s="15">
        <f>D36/$D$35*100</f>
        <v>0</v>
      </c>
      <c r="F36" s="15"/>
      <c r="G36" s="15"/>
    </row>
    <row r="37" spans="1:7" ht="19.5">
      <c r="A37" s="23"/>
      <c r="B37" s="22"/>
      <c r="C37" s="10"/>
      <c r="D37" s="21"/>
      <c r="E37" s="21">
        <f>E35*18/100</f>
        <v>18</v>
      </c>
      <c r="F37" s="20"/>
      <c r="G37" s="19"/>
    </row>
    <row r="38" spans="1:7" ht="19.5">
      <c r="A38" s="18"/>
      <c r="B38" s="17"/>
      <c r="C38" s="16"/>
      <c r="D38" s="15"/>
      <c r="E38" s="15"/>
      <c r="F38" s="14"/>
      <c r="G38" s="13"/>
    </row>
    <row r="39" spans="1:7" ht="20.25" thickBot="1">
      <c r="A39" s="12"/>
      <c r="B39" s="11" t="s">
        <v>5</v>
      </c>
      <c r="C39" s="10">
        <f>C35+C36</f>
        <v>16.36</v>
      </c>
      <c r="D39" s="9">
        <v>629500.4</v>
      </c>
      <c r="E39" s="9">
        <f>E35+E37</f>
        <v>118</v>
      </c>
      <c r="F39" s="8">
        <v>645630.22</v>
      </c>
      <c r="G39" s="7">
        <f>G35+G36</f>
        <v>751642.3</v>
      </c>
    </row>
    <row r="40" spans="1:7">
      <c r="D40" s="2" t="s">
        <v>4</v>
      </c>
      <c r="F40" s="6">
        <f>F39/D39</f>
        <v>1.0256232084999468</v>
      </c>
    </row>
    <row r="41" spans="1:7">
      <c r="C41" s="4"/>
      <c r="D41" s="3"/>
      <c r="E41" s="3"/>
      <c r="F41" s="3"/>
      <c r="G41" s="3"/>
    </row>
    <row r="42" spans="1:7" ht="18.75">
      <c r="A42" s="5"/>
      <c r="B42" s="4" t="s">
        <v>53</v>
      </c>
      <c r="C42" s="3">
        <v>453213.77</v>
      </c>
      <c r="D42" s="3" t="s">
        <v>1</v>
      </c>
    </row>
    <row r="43" spans="1:7" ht="18.75">
      <c r="A43" s="5"/>
      <c r="B43" s="4" t="s">
        <v>54</v>
      </c>
      <c r="C43" s="3">
        <f>D39-F39</f>
        <v>-16129.819999999949</v>
      </c>
      <c r="D43" s="3" t="s">
        <v>1</v>
      </c>
    </row>
    <row r="44" spans="1:7" ht="18.75">
      <c r="A44" s="5"/>
      <c r="B44" s="4" t="s">
        <v>2</v>
      </c>
      <c r="C44" s="3">
        <f>C42+C43</f>
        <v>437083.95000000007</v>
      </c>
      <c r="D44" s="3" t="s">
        <v>1</v>
      </c>
    </row>
    <row r="45" spans="1:7" ht="18.75" customHeight="1">
      <c r="A45" s="5"/>
      <c r="B45" s="4"/>
      <c r="C45" s="3"/>
      <c r="D45" s="3"/>
      <c r="E45" s="1"/>
      <c r="F45" s="1"/>
      <c r="G45" s="1"/>
    </row>
    <row r="49" spans="2:7">
      <c r="B49" s="1" t="s">
        <v>0</v>
      </c>
      <c r="E49" s="1"/>
      <c r="F49" s="1"/>
      <c r="G49" s="1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Анг20 1</vt:lpstr>
      <vt:lpstr>Цимл 1</vt:lpstr>
      <vt:lpstr>Цимл 3</vt:lpstr>
      <vt:lpstr>40л 39 1)</vt:lpstr>
      <vt:lpstr>40л 35</vt:lpstr>
      <vt:lpstr>40л 35 2</vt:lpstr>
      <vt:lpstr>40л 37</vt:lpstr>
      <vt:lpstr>40л 39</vt:lpstr>
      <vt:lpstr>40л 41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2015-02-27T08:01:33Z</dcterms:modified>
</cp:coreProperties>
</file>