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8"/>
  </bookViews>
  <sheets>
    <sheet name="Анг20 1" sheetId="10" r:id="rId1"/>
    <sheet name="Цимл 1" sheetId="11" r:id="rId2"/>
    <sheet name="Цимл 3" sheetId="12" r:id="rId3"/>
    <sheet name="40л 39 1)" sheetId="4" r:id="rId4"/>
    <sheet name="40л 35" sheetId="5" r:id="rId5"/>
    <sheet name="40л 35 2" sheetId="6" r:id="rId6"/>
    <sheet name="40л 37" sheetId="7" r:id="rId7"/>
    <sheet name="40л 39" sheetId="8" r:id="rId8"/>
    <sheet name="40л 41 1" sheetId="9" r:id="rId9"/>
  </sheets>
  <calcPr calcId="125725"/>
</workbook>
</file>

<file path=xl/calcChain.xml><?xml version="1.0" encoding="utf-8"?>
<calcChain xmlns="http://schemas.openxmlformats.org/spreadsheetml/2006/main">
  <c r="C17" i="12"/>
  <c r="G18"/>
  <c r="G19"/>
  <c r="G20"/>
  <c r="C24"/>
  <c r="G24"/>
  <c r="C27"/>
  <c r="G27"/>
  <c r="G30"/>
  <c r="C31"/>
  <c r="G32"/>
  <c r="G33"/>
  <c r="G34"/>
  <c r="G35"/>
  <c r="G36"/>
  <c r="G37"/>
  <c r="G38"/>
  <c r="C39"/>
  <c r="C43"/>
  <c r="D18" s="1"/>
  <c r="C47"/>
  <c r="C48"/>
  <c r="C17" i="11"/>
  <c r="G18"/>
  <c r="G19"/>
  <c r="G20"/>
  <c r="C24"/>
  <c r="G24"/>
  <c r="C27"/>
  <c r="G27"/>
  <c r="G30"/>
  <c r="C31"/>
  <c r="G32"/>
  <c r="G33"/>
  <c r="G34"/>
  <c r="G35"/>
  <c r="G36"/>
  <c r="G37"/>
  <c r="G38"/>
  <c r="C39"/>
  <c r="C43"/>
  <c r="D26" s="1"/>
  <c r="F44"/>
  <c r="C47"/>
  <c r="C48" s="1"/>
  <c r="C17" i="10"/>
  <c r="G18"/>
  <c r="G19"/>
  <c r="G20"/>
  <c r="C24"/>
  <c r="G24"/>
  <c r="C27"/>
  <c r="G27"/>
  <c r="G30"/>
  <c r="C31"/>
  <c r="G32"/>
  <c r="G33"/>
  <c r="G34"/>
  <c r="G35"/>
  <c r="G36"/>
  <c r="G37"/>
  <c r="G38"/>
  <c r="C39"/>
  <c r="C43" s="1"/>
  <c r="C47"/>
  <c r="C48"/>
  <c r="C17" i="9"/>
  <c r="G18"/>
  <c r="G19"/>
  <c r="G20"/>
  <c r="C24"/>
  <c r="G24"/>
  <c r="C27"/>
  <c r="G27"/>
  <c r="G30"/>
  <c r="C31"/>
  <c r="G32"/>
  <c r="G33"/>
  <c r="G34"/>
  <c r="G35"/>
  <c r="G36"/>
  <c r="G37"/>
  <c r="G38"/>
  <c r="F44"/>
  <c r="C47"/>
  <c r="C48"/>
  <c r="C17" i="8"/>
  <c r="G18"/>
  <c r="G19"/>
  <c r="G20"/>
  <c r="C24"/>
  <c r="G24"/>
  <c r="C27"/>
  <c r="G27"/>
  <c r="G30"/>
  <c r="C31"/>
  <c r="G32"/>
  <c r="G33"/>
  <c r="G34"/>
  <c r="G35"/>
  <c r="G36"/>
  <c r="G37"/>
  <c r="G38"/>
  <c r="C39"/>
  <c r="C43"/>
  <c r="D18" s="1"/>
  <c r="F44"/>
  <c r="C47"/>
  <c r="C48" s="1"/>
  <c r="C17" i="7"/>
  <c r="G18"/>
  <c r="G19"/>
  <c r="G20"/>
  <c r="C24"/>
  <c r="G24"/>
  <c r="C27"/>
  <c r="G27"/>
  <c r="G30"/>
  <c r="C31"/>
  <c r="G32"/>
  <c r="G33"/>
  <c r="G34"/>
  <c r="G35"/>
  <c r="G36"/>
  <c r="G37"/>
  <c r="G38"/>
  <c r="C39"/>
  <c r="C43" s="1"/>
  <c r="F44"/>
  <c r="C47"/>
  <c r="C48" s="1"/>
  <c r="C17" i="6"/>
  <c r="G18"/>
  <c r="G19"/>
  <c r="G20"/>
  <c r="C24"/>
  <c r="G24"/>
  <c r="C27"/>
  <c r="G27"/>
  <c r="G30"/>
  <c r="C31"/>
  <c r="G32"/>
  <c r="G33"/>
  <c r="G34"/>
  <c r="G35"/>
  <c r="G36"/>
  <c r="G37"/>
  <c r="G38"/>
  <c r="C39"/>
  <c r="C43"/>
  <c r="D18" s="1"/>
  <c r="F44"/>
  <c r="C47"/>
  <c r="C48"/>
  <c r="C17" i="5"/>
  <c r="G18"/>
  <c r="G19"/>
  <c r="G20"/>
  <c r="C24"/>
  <c r="G24"/>
  <c r="C27"/>
  <c r="G27"/>
  <c r="G30"/>
  <c r="C31"/>
  <c r="G32"/>
  <c r="G33"/>
  <c r="G34"/>
  <c r="G35"/>
  <c r="G36"/>
  <c r="G37"/>
  <c r="G38"/>
  <c r="C39"/>
  <c r="C43"/>
  <c r="D26" s="1"/>
  <c r="F44"/>
  <c r="C46"/>
  <c r="C47"/>
  <c r="C48" s="1"/>
  <c r="C17" i="4"/>
  <c r="G18"/>
  <c r="G19"/>
  <c r="G20"/>
  <c r="C24"/>
  <c r="G24"/>
  <c r="C27"/>
  <c r="G27"/>
  <c r="G30"/>
  <c r="C31"/>
  <c r="G32"/>
  <c r="G33"/>
  <c r="G34"/>
  <c r="G35"/>
  <c r="G36"/>
  <c r="G37"/>
  <c r="G38"/>
  <c r="F44"/>
  <c r="C47"/>
  <c r="C48"/>
  <c r="G31" l="1"/>
  <c r="G17"/>
  <c r="C39"/>
  <c r="C43" s="1"/>
  <c r="G31" i="5"/>
  <c r="G17"/>
  <c r="G31" i="6"/>
  <c r="G17"/>
  <c r="G31" i="7"/>
  <c r="G17"/>
  <c r="G31" i="8"/>
  <c r="G17"/>
  <c r="G39" s="1"/>
  <c r="G43" s="1"/>
  <c r="G45" s="1"/>
  <c r="G31" i="9"/>
  <c r="G17"/>
  <c r="G39" s="1"/>
  <c r="G43" s="1"/>
  <c r="G45" s="1"/>
  <c r="C39"/>
  <c r="C43" s="1"/>
  <c r="G31" i="10"/>
  <c r="G17"/>
  <c r="G31" i="11"/>
  <c r="G17"/>
  <c r="G39" s="1"/>
  <c r="G43" s="1"/>
  <c r="G45" s="1"/>
  <c r="G31" i="12"/>
  <c r="G17"/>
  <c r="G39" s="1"/>
  <c r="G43" s="1"/>
  <c r="G45" s="1"/>
  <c r="D18" i="10"/>
  <c r="F18"/>
  <c r="D19"/>
  <c r="F19"/>
  <c r="D20"/>
  <c r="F20"/>
  <c r="D21"/>
  <c r="F21"/>
  <c r="D25"/>
  <c r="F25"/>
  <c r="D29"/>
  <c r="F29"/>
  <c r="D32"/>
  <c r="F32"/>
  <c r="D33"/>
  <c r="F33"/>
  <c r="D34"/>
  <c r="F34"/>
  <c r="D35"/>
  <c r="F35"/>
  <c r="D36"/>
  <c r="F36"/>
  <c r="D37"/>
  <c r="F37"/>
  <c r="D38"/>
  <c r="F38"/>
  <c r="D26"/>
  <c r="F26"/>
  <c r="D28"/>
  <c r="F28"/>
  <c r="F27" s="1"/>
  <c r="D30"/>
  <c r="F30"/>
  <c r="G39"/>
  <c r="G43" s="1"/>
  <c r="G45" s="1"/>
  <c r="F38" i="11"/>
  <c r="D38"/>
  <c r="F37"/>
  <c r="D37"/>
  <c r="F36"/>
  <c r="D36"/>
  <c r="F35"/>
  <c r="D35"/>
  <c r="F34"/>
  <c r="D34"/>
  <c r="F33"/>
  <c r="D33"/>
  <c r="F32"/>
  <c r="F31" s="1"/>
  <c r="D32"/>
  <c r="F29"/>
  <c r="D29"/>
  <c r="F25"/>
  <c r="D25"/>
  <c r="F21"/>
  <c r="D21"/>
  <c r="F20"/>
  <c r="D20"/>
  <c r="F19"/>
  <c r="D19"/>
  <c r="F18"/>
  <c r="F17" s="1"/>
  <c r="D18"/>
  <c r="F30" i="12"/>
  <c r="D30"/>
  <c r="F28"/>
  <c r="D28"/>
  <c r="F26"/>
  <c r="D26"/>
  <c r="F30" i="11"/>
  <c r="D30"/>
  <c r="F28"/>
  <c r="F27" s="1"/>
  <c r="D28"/>
  <c r="F26"/>
  <c r="F38" i="12"/>
  <c r="D38"/>
  <c r="F37"/>
  <c r="D37"/>
  <c r="F36"/>
  <c r="D36"/>
  <c r="F35"/>
  <c r="D35"/>
  <c r="F34"/>
  <c r="D34"/>
  <c r="F33"/>
  <c r="D33"/>
  <c r="F32"/>
  <c r="F31" s="1"/>
  <c r="D32"/>
  <c r="F29"/>
  <c r="D29"/>
  <c r="F25"/>
  <c r="F24" s="1"/>
  <c r="D25"/>
  <c r="F21"/>
  <c r="D21"/>
  <c r="F20"/>
  <c r="D20"/>
  <c r="F19"/>
  <c r="D19"/>
  <c r="F18"/>
  <c r="F17" s="1"/>
  <c r="D18" i="9"/>
  <c r="F18"/>
  <c r="D19"/>
  <c r="F19"/>
  <c r="D20"/>
  <c r="F20"/>
  <c r="D21"/>
  <c r="F21"/>
  <c r="D25"/>
  <c r="F25"/>
  <c r="D29"/>
  <c r="F29"/>
  <c r="D32"/>
  <c r="F32"/>
  <c r="D33"/>
  <c r="F33"/>
  <c r="D34"/>
  <c r="F34"/>
  <c r="D35"/>
  <c r="F35"/>
  <c r="D36"/>
  <c r="F36"/>
  <c r="D37"/>
  <c r="F37"/>
  <c r="D38"/>
  <c r="F38"/>
  <c r="D26"/>
  <c r="F26"/>
  <c r="D28"/>
  <c r="F28"/>
  <c r="F27" s="1"/>
  <c r="D30"/>
  <c r="F30"/>
  <c r="D26" i="7"/>
  <c r="F26"/>
  <c r="D28"/>
  <c r="F28"/>
  <c r="D30"/>
  <c r="F30"/>
  <c r="D18"/>
  <c r="F18"/>
  <c r="D19"/>
  <c r="F19"/>
  <c r="D20"/>
  <c r="F20"/>
  <c r="D21"/>
  <c r="F21"/>
  <c r="D25"/>
  <c r="F25"/>
  <c r="F24" s="1"/>
  <c r="D29"/>
  <c r="F29"/>
  <c r="D32"/>
  <c r="F32"/>
  <c r="D33"/>
  <c r="F33"/>
  <c r="D34"/>
  <c r="F34"/>
  <c r="D35"/>
  <c r="F35"/>
  <c r="D36"/>
  <c r="F36"/>
  <c r="D37"/>
  <c r="F37"/>
  <c r="D38"/>
  <c r="F38"/>
  <c r="G39" i="5"/>
  <c r="G43" s="1"/>
  <c r="G45" s="1"/>
  <c r="G39" i="6"/>
  <c r="G43" s="1"/>
  <c r="G45" s="1"/>
  <c r="G39" i="7"/>
  <c r="G43" s="1"/>
  <c r="G45" s="1"/>
  <c r="F38" i="5"/>
  <c r="D38"/>
  <c r="F37"/>
  <c r="D37"/>
  <c r="F36"/>
  <c r="D36"/>
  <c r="F35"/>
  <c r="D35"/>
  <c r="F34"/>
  <c r="D34"/>
  <c r="F33"/>
  <c r="D33"/>
  <c r="F32"/>
  <c r="F31" s="1"/>
  <c r="D32"/>
  <c r="F29"/>
  <c r="D29"/>
  <c r="F25"/>
  <c r="D25"/>
  <c r="F21"/>
  <c r="D21"/>
  <c r="F20"/>
  <c r="D20"/>
  <c r="F19"/>
  <c r="D19"/>
  <c r="F18"/>
  <c r="F17" s="1"/>
  <c r="D18"/>
  <c r="F30" i="6"/>
  <c r="D30"/>
  <c r="F28"/>
  <c r="D28"/>
  <c r="F26"/>
  <c r="D26"/>
  <c r="F30" i="8"/>
  <c r="D30"/>
  <c r="F28"/>
  <c r="D28"/>
  <c r="F26"/>
  <c r="D26"/>
  <c r="F30" i="5"/>
  <c r="D30"/>
  <c r="F28"/>
  <c r="F27" s="1"/>
  <c r="D28"/>
  <c r="F26"/>
  <c r="F38" i="6"/>
  <c r="D38"/>
  <c r="F37"/>
  <c r="D37"/>
  <c r="F36"/>
  <c r="D36"/>
  <c r="F35"/>
  <c r="D35"/>
  <c r="F34"/>
  <c r="D34"/>
  <c r="F33"/>
  <c r="D33"/>
  <c r="F32"/>
  <c r="F31" s="1"/>
  <c r="D32"/>
  <c r="F29"/>
  <c r="D29"/>
  <c r="F25"/>
  <c r="F24" s="1"/>
  <c r="D25"/>
  <c r="F21"/>
  <c r="D21"/>
  <c r="F20"/>
  <c r="D20"/>
  <c r="F19"/>
  <c r="D19"/>
  <c r="D17" s="1"/>
  <c r="F18"/>
  <c r="F17" s="1"/>
  <c r="F38" i="8"/>
  <c r="D38"/>
  <c r="F37"/>
  <c r="D37"/>
  <c r="F36"/>
  <c r="D36"/>
  <c r="F35"/>
  <c r="D35"/>
  <c r="F34"/>
  <c r="D34"/>
  <c r="F33"/>
  <c r="D33"/>
  <c r="F32"/>
  <c r="F31" s="1"/>
  <c r="D32"/>
  <c r="F29"/>
  <c r="D29"/>
  <c r="F25"/>
  <c r="F24" s="1"/>
  <c r="D25"/>
  <c r="F21"/>
  <c r="D21"/>
  <c r="F20"/>
  <c r="D20"/>
  <c r="F19"/>
  <c r="D19"/>
  <c r="F18"/>
  <c r="F17" s="1"/>
  <c r="D18" i="4"/>
  <c r="F18"/>
  <c r="D19"/>
  <c r="F19"/>
  <c r="D20"/>
  <c r="F20"/>
  <c r="D21"/>
  <c r="F21"/>
  <c r="D25"/>
  <c r="F25"/>
  <c r="D29"/>
  <c r="F29"/>
  <c r="D32"/>
  <c r="F32"/>
  <c r="D33"/>
  <c r="F33"/>
  <c r="D34"/>
  <c r="F34"/>
  <c r="D35"/>
  <c r="F35"/>
  <c r="D36"/>
  <c r="F36"/>
  <c r="D37"/>
  <c r="F37"/>
  <c r="D38"/>
  <c r="F38"/>
  <c r="D26"/>
  <c r="F26"/>
  <c r="D28"/>
  <c r="F28"/>
  <c r="F27" s="1"/>
  <c r="D30"/>
  <c r="F30"/>
  <c r="G39"/>
  <c r="G43" s="1"/>
  <c r="G45" s="1"/>
  <c r="D27" i="12" l="1"/>
  <c r="D17" i="11"/>
  <c r="D24"/>
  <c r="D31"/>
  <c r="D24" i="12"/>
  <c r="D31"/>
  <c r="D27" i="10"/>
  <c r="D31"/>
  <c r="D24"/>
  <c r="D17"/>
  <c r="F31"/>
  <c r="F24"/>
  <c r="F17"/>
  <c r="F27" i="12"/>
  <c r="F39" s="1"/>
  <c r="F24" i="11"/>
  <c r="F39" s="1"/>
  <c r="D17" i="12"/>
  <c r="D27" i="11"/>
  <c r="D27" i="9"/>
  <c r="D31"/>
  <c r="D24"/>
  <c r="D17"/>
  <c r="F31"/>
  <c r="F24"/>
  <c r="F17"/>
  <c r="D24" i="8"/>
  <c r="D31"/>
  <c r="D27" i="5"/>
  <c r="D27" i="8"/>
  <c r="D31" i="5"/>
  <c r="D24" i="6"/>
  <c r="D31"/>
  <c r="D31" i="7"/>
  <c r="D24"/>
  <c r="D17"/>
  <c r="D27"/>
  <c r="F27" i="8"/>
  <c r="F39" s="1"/>
  <c r="F27" i="6"/>
  <c r="F39" s="1"/>
  <c r="F24" i="5"/>
  <c r="F39" s="1"/>
  <c r="D17" i="8"/>
  <c r="D27" i="6"/>
  <c r="D17" i="5"/>
  <c r="D24"/>
  <c r="D39" i="6"/>
  <c r="E25" s="1"/>
  <c r="F31" i="7"/>
  <c r="F17"/>
  <c r="F27"/>
  <c r="D27" i="4"/>
  <c r="D31"/>
  <c r="D24"/>
  <c r="D17"/>
  <c r="F31"/>
  <c r="F24"/>
  <c r="F17"/>
  <c r="E28" i="6" l="1"/>
  <c r="E38"/>
  <c r="E36"/>
  <c r="E34"/>
  <c r="E29"/>
  <c r="E20"/>
  <c r="E30"/>
  <c r="E32"/>
  <c r="D39" i="11"/>
  <c r="D39" i="12"/>
  <c r="F39" i="10"/>
  <c r="D39"/>
  <c r="F39" i="9"/>
  <c r="D39"/>
  <c r="E39" i="6"/>
  <c r="E40"/>
  <c r="E18"/>
  <c r="D39" i="7"/>
  <c r="F39"/>
  <c r="D39" i="5"/>
  <c r="D39" i="8"/>
  <c r="E37" i="6"/>
  <c r="E35"/>
  <c r="E33"/>
  <c r="E31" s="1"/>
  <c r="E21"/>
  <c r="E19"/>
  <c r="E26"/>
  <c r="E24" s="1"/>
  <c r="F39" i="4"/>
  <c r="D39"/>
  <c r="E27" i="6" l="1"/>
  <c r="E40" i="11"/>
  <c r="E39"/>
  <c r="E26"/>
  <c r="E18"/>
  <c r="E25"/>
  <c r="E24" s="1"/>
  <c r="E32"/>
  <c r="E19"/>
  <c r="E21"/>
  <c r="E33"/>
  <c r="E35"/>
  <c r="E37"/>
  <c r="E28"/>
  <c r="E30"/>
  <c r="E20"/>
  <c r="E29"/>
  <c r="E34"/>
  <c r="E36"/>
  <c r="E38"/>
  <c r="E39" i="10"/>
  <c r="E40"/>
  <c r="E28"/>
  <c r="E30"/>
  <c r="E38"/>
  <c r="E36"/>
  <c r="E34"/>
  <c r="E29"/>
  <c r="E20"/>
  <c r="E32"/>
  <c r="E25"/>
  <c r="E18"/>
  <c r="E26"/>
  <c r="E37"/>
  <c r="E35"/>
  <c r="E33"/>
  <c r="E21"/>
  <c r="E19"/>
  <c r="E39" i="12"/>
  <c r="E40"/>
  <c r="E18"/>
  <c r="E28"/>
  <c r="E26"/>
  <c r="E20"/>
  <c r="E29"/>
  <c r="E34"/>
  <c r="E36"/>
  <c r="E38"/>
  <c r="E25"/>
  <c r="E24" s="1"/>
  <c r="E32"/>
  <c r="E30"/>
  <c r="E19"/>
  <c r="E21"/>
  <c r="E33"/>
  <c r="E35"/>
  <c r="E37"/>
  <c r="F44"/>
  <c r="E39" i="9"/>
  <c r="E40"/>
  <c r="E28"/>
  <c r="E26"/>
  <c r="E37"/>
  <c r="E35"/>
  <c r="E33"/>
  <c r="E21"/>
  <c r="E19"/>
  <c r="E32"/>
  <c r="E25"/>
  <c r="E18"/>
  <c r="E30"/>
  <c r="E38"/>
  <c r="E36"/>
  <c r="E34"/>
  <c r="E29"/>
  <c r="E20"/>
  <c r="E39" i="8"/>
  <c r="E40"/>
  <c r="E18"/>
  <c r="E25"/>
  <c r="E32"/>
  <c r="E21"/>
  <c r="E20"/>
  <c r="E37"/>
  <c r="E28"/>
  <c r="E19"/>
  <c r="E34"/>
  <c r="E29"/>
  <c r="E35"/>
  <c r="E38"/>
  <c r="E30"/>
  <c r="E36"/>
  <c r="E26"/>
  <c r="E33"/>
  <c r="E40" i="7"/>
  <c r="E39"/>
  <c r="E36"/>
  <c r="E20"/>
  <c r="E32"/>
  <c r="E25"/>
  <c r="E18"/>
  <c r="E37"/>
  <c r="E35"/>
  <c r="E33"/>
  <c r="E21"/>
  <c r="E19"/>
  <c r="E26"/>
  <c r="E28"/>
  <c r="E38"/>
  <c r="E34"/>
  <c r="E29"/>
  <c r="E30"/>
  <c r="E40" i="5"/>
  <c r="E39"/>
  <c r="E26"/>
  <c r="E28"/>
  <c r="E34"/>
  <c r="E36"/>
  <c r="E32"/>
  <c r="E19"/>
  <c r="E29"/>
  <c r="E35"/>
  <c r="E38"/>
  <c r="E33"/>
  <c r="E21"/>
  <c r="E37"/>
  <c r="E18"/>
  <c r="E25"/>
  <c r="E24" s="1"/>
  <c r="E30"/>
  <c r="E20"/>
  <c r="E41" i="6"/>
  <c r="E43"/>
  <c r="E17"/>
  <c r="E39" i="4"/>
  <c r="E40"/>
  <c r="E28"/>
  <c r="E26"/>
  <c r="E37"/>
  <c r="E35"/>
  <c r="E33"/>
  <c r="E21"/>
  <c r="E19"/>
  <c r="E32"/>
  <c r="E25"/>
  <c r="E18"/>
  <c r="E30"/>
  <c r="E38"/>
  <c r="E36"/>
  <c r="E34"/>
  <c r="E29"/>
  <c r="E20"/>
  <c r="E27" i="5" l="1"/>
  <c r="E27" i="7"/>
  <c r="E24"/>
  <c r="E24" i="8"/>
  <c r="E27" i="12"/>
  <c r="E27" i="11"/>
  <c r="E41"/>
  <c r="E43"/>
  <c r="E41" i="12"/>
  <c r="E43"/>
  <c r="E41" i="10"/>
  <c r="E43"/>
  <c r="E31" i="12"/>
  <c r="E17" i="10"/>
  <c r="E31"/>
  <c r="E31" i="11"/>
  <c r="E17"/>
  <c r="E17" i="12"/>
  <c r="E24" i="10"/>
  <c r="E27"/>
  <c r="E41" i="9"/>
  <c r="E43"/>
  <c r="E17"/>
  <c r="E31"/>
  <c r="E24"/>
  <c r="E27"/>
  <c r="E41" i="5"/>
  <c r="E43"/>
  <c r="E41" i="7"/>
  <c r="E43"/>
  <c r="E41" i="8"/>
  <c r="E43"/>
  <c r="E17" i="5"/>
  <c r="E31"/>
  <c r="E17" i="7"/>
  <c r="E31"/>
  <c r="E27" i="8"/>
  <c r="E31"/>
  <c r="E17"/>
  <c r="E41" i="4"/>
  <c r="E43"/>
  <c r="E17"/>
  <c r="E31"/>
  <c r="E24"/>
  <c r="E27"/>
</calcChain>
</file>

<file path=xl/sharedStrings.xml><?xml version="1.0" encoding="utf-8"?>
<sst xmlns="http://schemas.openxmlformats.org/spreadsheetml/2006/main" count="449" uniqueCount="66">
  <si>
    <t>Управляющая  компания  ООО "ЖЭК"</t>
  </si>
  <si>
    <t>руб</t>
  </si>
  <si>
    <t>ИТОГО:</t>
  </si>
  <si>
    <t xml:space="preserve">Задолженность за 2013г </t>
  </si>
  <si>
    <t>Задолженность на 01.01.2013г -</t>
  </si>
  <si>
    <t>Текущий  ремонт  подъездов - 2013г</t>
  </si>
  <si>
    <t>Уровень оплаты</t>
  </si>
  <si>
    <t>Всего</t>
  </si>
  <si>
    <t xml:space="preserve"> Итого прямые расходы</t>
  </si>
  <si>
    <t>Услуги РКЦ (квитанция, услуги банка)</t>
  </si>
  <si>
    <t>6.</t>
  </si>
  <si>
    <t xml:space="preserve">- прочие расходы </t>
  </si>
  <si>
    <t>- аренда зданий, имущества</t>
  </si>
  <si>
    <t>- расходы на коммунальные услуги</t>
  </si>
  <si>
    <t>- затраты на ГСМ</t>
  </si>
  <si>
    <t>-расходы на автопарк (з/плата, ЕСН, запчасти)</t>
  </si>
  <si>
    <t>- содержание аппарата управления, амортизация,налоги</t>
  </si>
  <si>
    <t>Общеэксплуатационные расходы, в т.ч.</t>
  </si>
  <si>
    <t>5.</t>
  </si>
  <si>
    <t>Услуги аварийно-диспетчерской службы</t>
  </si>
  <si>
    <t>4.</t>
  </si>
  <si>
    <t>конструктиные элементы здания</t>
  </si>
  <si>
    <t>внутридомовое инжинерное оборудование</t>
  </si>
  <si>
    <t>Проведение технических осмотров,ремонт</t>
  </si>
  <si>
    <t>3.</t>
  </si>
  <si>
    <t>- конструктивные элементы зданий</t>
  </si>
  <si>
    <t>- внутридомовое инженерное оборудование</t>
  </si>
  <si>
    <t>к сезонной эксплуатации, всего:</t>
  </si>
  <si>
    <t xml:space="preserve">Подготовка многоквартирного дома </t>
  </si>
  <si>
    <t>2.</t>
  </si>
  <si>
    <t>- дезинсекция</t>
  </si>
  <si>
    <t xml:space="preserve">- электроэнергия </t>
  </si>
  <si>
    <t>-уборка лестничных клеток</t>
  </si>
  <si>
    <t>- уборка территории</t>
  </si>
  <si>
    <t>общего пользования, в т.ч.</t>
  </si>
  <si>
    <t>придомовых территорий и мест</t>
  </si>
  <si>
    <t>Содержание и благоустройство</t>
  </si>
  <si>
    <t>1.</t>
  </si>
  <si>
    <t>оплачено</t>
  </si>
  <si>
    <t>начислено</t>
  </si>
  <si>
    <t>на 1 кв.м</t>
  </si>
  <si>
    <t>Сумма расходов факт всего, руб.</t>
  </si>
  <si>
    <t>Сумма доходов всего, руб.</t>
  </si>
  <si>
    <t>Наименование статьи</t>
  </si>
  <si>
    <t>№ п/п</t>
  </si>
  <si>
    <t>за  2013 год</t>
  </si>
  <si>
    <t>по многоквартирному дому по адресу: ул.  40 лет Октября дом 39/1</t>
  </si>
  <si>
    <t xml:space="preserve"> Учет доходов и расходов по оплате за управление, содержание и текуший ремонт </t>
  </si>
  <si>
    <t>Резерв</t>
  </si>
  <si>
    <t>по многоквартирному дому по адресу: ул.  40 лет Октября дом 35</t>
  </si>
  <si>
    <t>Резерв  -</t>
  </si>
  <si>
    <t>по многоквартирному дому по адресу: ул.  40 лет Октября дом 35/2</t>
  </si>
  <si>
    <t>Резерв   -</t>
  </si>
  <si>
    <t>по многоквартирному дому по адресу: ул.  40 лет Октября дом 37</t>
  </si>
  <si>
    <t>Резерв  на текущий  ремонт подъездов -</t>
  </si>
  <si>
    <t>по многоквартирному дому по адресу: ул.  40 лет Октября дом 39</t>
  </si>
  <si>
    <t xml:space="preserve">                Резерв</t>
  </si>
  <si>
    <t>по многоквартирному дому по адресу: ул.  40 лет Октября дом 41/1</t>
  </si>
  <si>
    <t>Управляющая компания  ООО " ЖЭК"</t>
  </si>
  <si>
    <t>по многоквартирному дому : ул.  Ангарская дом  № 20/1</t>
  </si>
  <si>
    <t xml:space="preserve"> Текущий ремонт подъездов  - 2013г</t>
  </si>
  <si>
    <t>по многоквартирному дому : ул. Цимлянская  дом № 1</t>
  </si>
  <si>
    <t xml:space="preserve">    Учет   доходов и   расходов по оплате за управление, содержание и текуший ремонт </t>
  </si>
  <si>
    <t>Резерв  на текущий ремонт  подъездов-</t>
  </si>
  <si>
    <t>по многоквартирному дому:    ул. Цимлянская  дом № 3</t>
  </si>
  <si>
    <t xml:space="preserve"> Учет  доходов и расходов по оплате за управление, содержание и текуший ремонт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</si>
</sst>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1" applyFont="1"/>
    <xf numFmtId="4" fontId="2" fillId="0" borderId="0" xfId="1" applyNumberFormat="1" applyFont="1"/>
    <xf numFmtId="4" fontId="3" fillId="0" borderId="0" xfId="1" applyNumberFormat="1" applyFont="1"/>
    <xf numFmtId="0" fontId="3" fillId="0" borderId="0" xfId="1" applyFont="1"/>
    <xf numFmtId="0" fontId="4" fillId="0" borderId="0" xfId="1" applyFont="1"/>
    <xf numFmtId="10" fontId="2" fillId="0" borderId="0" xfId="1" applyNumberFormat="1" applyFont="1"/>
    <xf numFmtId="4" fontId="5" fillId="2" borderId="1" xfId="1" applyNumberFormat="1" applyFont="1" applyFill="1" applyBorder="1"/>
    <xf numFmtId="4" fontId="5" fillId="2" borderId="2" xfId="1" applyNumberFormat="1" applyFont="1" applyFill="1" applyBorder="1"/>
    <xf numFmtId="4" fontId="5" fillId="2" borderId="3" xfId="1" applyNumberFormat="1" applyFont="1" applyFill="1" applyBorder="1"/>
    <xf numFmtId="4" fontId="5" fillId="2" borderId="4" xfId="1" applyNumberFormat="1" applyFont="1" applyFill="1" applyBorder="1"/>
    <xf numFmtId="49" fontId="5" fillId="2" borderId="2" xfId="1" applyNumberFormat="1" applyFont="1" applyFill="1" applyBorder="1"/>
    <xf numFmtId="0" fontId="5" fillId="2" borderId="5" xfId="1" applyFont="1" applyFill="1" applyBorder="1"/>
    <xf numFmtId="4" fontId="5" fillId="3" borderId="6" xfId="1" applyNumberFormat="1" applyFont="1" applyFill="1" applyBorder="1"/>
    <xf numFmtId="4" fontId="5" fillId="3" borderId="7" xfId="1" applyNumberFormat="1" applyFont="1" applyFill="1" applyBorder="1"/>
    <xf numFmtId="4" fontId="5" fillId="3" borderId="8" xfId="1" applyNumberFormat="1" applyFont="1" applyFill="1" applyBorder="1"/>
    <xf numFmtId="4" fontId="5" fillId="3" borderId="4" xfId="1" applyNumberFormat="1" applyFont="1" applyFill="1" applyBorder="1"/>
    <xf numFmtId="49" fontId="5" fillId="3" borderId="7" xfId="1" applyNumberFormat="1" applyFont="1" applyFill="1" applyBorder="1"/>
    <xf numFmtId="0" fontId="5" fillId="3" borderId="4" xfId="1" applyFont="1" applyFill="1" applyBorder="1"/>
    <xf numFmtId="4" fontId="5" fillId="2" borderId="6" xfId="1" applyNumberFormat="1" applyFont="1" applyFill="1" applyBorder="1"/>
    <xf numFmtId="4" fontId="5" fillId="2" borderId="7" xfId="1" applyNumberFormat="1" applyFont="1" applyFill="1" applyBorder="1"/>
    <xf numFmtId="4" fontId="5" fillId="2" borderId="8" xfId="1" applyNumberFormat="1" applyFont="1" applyFill="1" applyBorder="1"/>
    <xf numFmtId="49" fontId="5" fillId="2" borderId="7" xfId="1" applyNumberFormat="1" applyFont="1" applyFill="1" applyBorder="1"/>
    <xf numFmtId="0" fontId="5" fillId="2" borderId="4" xfId="1" applyFont="1" applyFill="1" applyBorder="1"/>
    <xf numFmtId="4" fontId="2" fillId="2" borderId="9" xfId="1" applyNumberFormat="1" applyFont="1" applyFill="1" applyBorder="1"/>
    <xf numFmtId="4" fontId="3" fillId="2" borderId="9" xfId="1" applyNumberFormat="1" applyFont="1" applyFill="1" applyBorder="1"/>
    <xf numFmtId="4" fontId="2" fillId="3" borderId="10" xfId="1" applyNumberFormat="1" applyFont="1" applyFill="1" applyBorder="1"/>
    <xf numFmtId="4" fontId="2" fillId="3" borderId="9" xfId="1" applyNumberFormat="1" applyFont="1" applyFill="1" applyBorder="1"/>
    <xf numFmtId="4" fontId="2" fillId="0" borderId="4" xfId="1" applyNumberFormat="1" applyFont="1" applyBorder="1"/>
    <xf numFmtId="49" fontId="2" fillId="0" borderId="7" xfId="1" applyNumberFormat="1" applyFont="1" applyBorder="1"/>
    <xf numFmtId="0" fontId="2" fillId="0" borderId="4" xfId="1" applyFont="1" applyBorder="1"/>
    <xf numFmtId="4" fontId="2" fillId="3" borderId="4" xfId="1" applyNumberFormat="1" applyFont="1" applyFill="1" applyBorder="1"/>
    <xf numFmtId="49" fontId="2" fillId="3" borderId="7" xfId="1" applyNumberFormat="1" applyFont="1" applyFill="1" applyBorder="1"/>
    <xf numFmtId="0" fontId="2" fillId="3" borderId="4" xfId="1" applyFont="1" applyFill="1" applyBorder="1"/>
    <xf numFmtId="4" fontId="6" fillId="3" borderId="6" xfId="1" applyNumberFormat="1" applyFont="1" applyFill="1" applyBorder="1"/>
    <xf numFmtId="49" fontId="2" fillId="3" borderId="11" xfId="1" applyNumberFormat="1" applyFont="1" applyFill="1" applyBorder="1"/>
    <xf numFmtId="4" fontId="2" fillId="3" borderId="12" xfId="1" applyNumberFormat="1" applyFont="1" applyFill="1" applyBorder="1"/>
    <xf numFmtId="4" fontId="5" fillId="2" borderId="10" xfId="1" applyNumberFormat="1" applyFont="1" applyFill="1" applyBorder="1"/>
    <xf numFmtId="4" fontId="5" fillId="2" borderId="13" xfId="1" applyNumberFormat="1" applyFont="1" applyFill="1" applyBorder="1"/>
    <xf numFmtId="4" fontId="5" fillId="2" borderId="14" xfId="1" applyNumberFormat="1" applyFont="1" applyFill="1" applyBorder="1"/>
    <xf numFmtId="4" fontId="5" fillId="2" borderId="12" xfId="1" applyNumberFormat="1" applyFont="1" applyFill="1" applyBorder="1"/>
    <xf numFmtId="0" fontId="5" fillId="2" borderId="15" xfId="1" applyFont="1" applyFill="1" applyBorder="1"/>
    <xf numFmtId="0" fontId="5" fillId="2" borderId="12" xfId="1" applyFont="1" applyFill="1" applyBorder="1"/>
    <xf numFmtId="4" fontId="5" fillId="2" borderId="16" xfId="1" applyNumberFormat="1" applyFont="1" applyFill="1" applyBorder="1"/>
    <xf numFmtId="4" fontId="5" fillId="2" borderId="17" xfId="1" applyNumberFormat="1" applyFont="1" applyFill="1" applyBorder="1"/>
    <xf numFmtId="4" fontId="5" fillId="2" borderId="18" xfId="1" applyNumberFormat="1" applyFont="1" applyFill="1" applyBorder="1"/>
    <xf numFmtId="4" fontId="5" fillId="2" borderId="0" xfId="1" applyNumberFormat="1" applyFont="1" applyFill="1" applyBorder="1"/>
    <xf numFmtId="4" fontId="5" fillId="2" borderId="19" xfId="1" applyNumberFormat="1" applyFont="1" applyFill="1" applyBorder="1"/>
    <xf numFmtId="0" fontId="5" fillId="2" borderId="20" xfId="1" applyFont="1" applyFill="1" applyBorder="1"/>
    <xf numFmtId="0" fontId="5" fillId="2" borderId="19" xfId="1" applyFont="1" applyFill="1" applyBorder="1"/>
    <xf numFmtId="4" fontId="5" fillId="2" borderId="21" xfId="1" applyNumberFormat="1" applyFont="1" applyFill="1" applyBorder="1"/>
    <xf numFmtId="4" fontId="5" fillId="2" borderId="22" xfId="1" applyNumberFormat="1" applyFont="1" applyFill="1" applyBorder="1"/>
    <xf numFmtId="4" fontId="5" fillId="2" borderId="23" xfId="1" applyNumberFormat="1" applyFont="1" applyFill="1" applyBorder="1"/>
    <xf numFmtId="4" fontId="5" fillId="2" borderId="24" xfId="1" applyNumberFormat="1" applyFont="1" applyFill="1" applyBorder="1"/>
    <xf numFmtId="4" fontId="5" fillId="2" borderId="25" xfId="1" applyNumberFormat="1" applyFont="1" applyFill="1" applyBorder="1"/>
    <xf numFmtId="0" fontId="5" fillId="2" borderId="26" xfId="1" applyFont="1" applyFill="1" applyBorder="1"/>
    <xf numFmtId="0" fontId="5" fillId="2" borderId="25" xfId="1" applyFont="1" applyFill="1" applyBorder="1"/>
    <xf numFmtId="4" fontId="2" fillId="3" borderId="16" xfId="1" applyNumberFormat="1" applyFont="1" applyFill="1" applyBorder="1"/>
    <xf numFmtId="4" fontId="2" fillId="3" borderId="25" xfId="1" applyNumberFormat="1" applyFont="1" applyFill="1" applyBorder="1"/>
    <xf numFmtId="49" fontId="2" fillId="3" borderId="15" xfId="1" applyNumberFormat="1" applyFont="1" applyFill="1" applyBorder="1"/>
    <xf numFmtId="0" fontId="2" fillId="3" borderId="12" xfId="1" applyFont="1" applyFill="1" applyBorder="1"/>
    <xf numFmtId="4" fontId="2" fillId="3" borderId="6" xfId="1" applyNumberFormat="1" applyFont="1" applyFill="1" applyBorder="1"/>
    <xf numFmtId="4" fontId="3" fillId="3" borderId="21" xfId="1" applyNumberFormat="1" applyFont="1" applyFill="1" applyBorder="1" applyAlignment="1">
      <alignment horizontal="center" vertical="center" wrapText="1"/>
    </xf>
    <xf numFmtId="4" fontId="3" fillId="3" borderId="26" xfId="1" applyNumberFormat="1" applyFont="1" applyFill="1" applyBorder="1" applyAlignment="1">
      <alignment horizontal="center"/>
    </xf>
    <xf numFmtId="4" fontId="3" fillId="3" borderId="8" xfId="1" applyNumberFormat="1" applyFont="1" applyFill="1" applyBorder="1" applyAlignment="1">
      <alignment horizontal="center"/>
    </xf>
    <xf numFmtId="4" fontId="3" fillId="3" borderId="27" xfId="1" applyNumberFormat="1" applyFont="1" applyFill="1" applyBorder="1" applyAlignment="1">
      <alignment horizontal="center"/>
    </xf>
    <xf numFmtId="4" fontId="3" fillId="3" borderId="25" xfId="1" applyNumberFormat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4" fontId="3" fillId="2" borderId="15" xfId="1" applyNumberFormat="1" applyFont="1" applyFill="1" applyBorder="1" applyAlignment="1">
      <alignment horizontal="center"/>
    </xf>
    <xf numFmtId="4" fontId="3" fillId="2" borderId="28" xfId="1" applyNumberFormat="1" applyFont="1" applyFill="1" applyBorder="1" applyAlignment="1">
      <alignment horizontal="center"/>
    </xf>
    <xf numFmtId="4" fontId="3" fillId="2" borderId="29" xfId="1" applyNumberFormat="1" applyFont="1" applyFill="1" applyBorder="1" applyAlignment="1">
      <alignment horizontal="center"/>
    </xf>
    <xf numFmtId="4" fontId="3" fillId="2" borderId="19" xfId="1" applyNumberFormat="1" applyFont="1" applyFill="1" applyBorder="1" applyAlignment="1">
      <alignment horizontal="center" vertical="center" wrapText="1"/>
    </xf>
    <xf numFmtId="4" fontId="2" fillId="3" borderId="0" xfId="1" applyNumberFormat="1" applyFont="1" applyFill="1"/>
    <xf numFmtId="0" fontId="2" fillId="3" borderId="0" xfId="1" applyFont="1" applyFill="1"/>
    <xf numFmtId="4" fontId="7" fillId="3" borderId="0" xfId="1" applyNumberFormat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4" fontId="4" fillId="3" borderId="0" xfId="1" applyNumberFormat="1" applyFont="1" applyFill="1"/>
    <xf numFmtId="0" fontId="4" fillId="3" borderId="0" xfId="1" applyFont="1" applyFill="1"/>
    <xf numFmtId="0" fontId="7" fillId="3" borderId="0" xfId="1" applyFont="1" applyFill="1" applyAlignment="1">
      <alignment horizontal="center"/>
    </xf>
    <xf numFmtId="4" fontId="3" fillId="2" borderId="33" xfId="1" applyNumberFormat="1" applyFont="1" applyFill="1" applyBorder="1" applyAlignment="1">
      <alignment horizontal="center"/>
    </xf>
    <xf numFmtId="4" fontId="3" fillId="2" borderId="32" xfId="1" applyNumberFormat="1" applyFont="1" applyFill="1" applyBorder="1" applyAlignment="1">
      <alignment horizontal="center"/>
    </xf>
    <xf numFmtId="4" fontId="3" fillId="2" borderId="31" xfId="1" applyNumberFormat="1" applyFont="1" applyFill="1" applyBorder="1" applyAlignment="1">
      <alignment horizontal="center"/>
    </xf>
    <xf numFmtId="0" fontId="3" fillId="2" borderId="3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4" fontId="3" fillId="2" borderId="30" xfId="1" applyNumberFormat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opLeftCell="A18" zoomScale="75" zoomScaleNormal="50" workbookViewId="0">
      <selection activeCell="G30" sqref="G30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79" t="s">
        <v>47</v>
      </c>
      <c r="B7" s="79"/>
      <c r="C7" s="79"/>
      <c r="D7" s="79"/>
      <c r="E7" s="79"/>
      <c r="F7" s="79"/>
      <c r="G7" s="79"/>
    </row>
    <row r="8" spans="1:7" ht="18.75">
      <c r="A8" s="79" t="s">
        <v>59</v>
      </c>
      <c r="B8" s="79"/>
      <c r="C8" s="79"/>
      <c r="D8" s="79"/>
      <c r="E8" s="79"/>
      <c r="F8" s="79"/>
      <c r="G8" s="79"/>
    </row>
    <row r="9" spans="1:7" ht="18.75">
      <c r="A9" s="79" t="s">
        <v>45</v>
      </c>
      <c r="B9" s="79"/>
      <c r="C9" s="79"/>
      <c r="D9" s="79"/>
      <c r="E9" s="79"/>
      <c r="F9" s="79"/>
      <c r="G9" s="79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2650.7</v>
      </c>
    </row>
    <row r="12" spans="1:7" ht="16.5" thickBot="1">
      <c r="A12" s="83" t="s">
        <v>44</v>
      </c>
      <c r="B12" s="85"/>
      <c r="C12" s="80" t="s">
        <v>42</v>
      </c>
      <c r="D12" s="81"/>
      <c r="E12" s="81"/>
      <c r="F12" s="82"/>
      <c r="G12" s="87" t="s">
        <v>41</v>
      </c>
    </row>
    <row r="13" spans="1:7">
      <c r="A13" s="84"/>
      <c r="B13" s="86"/>
      <c r="C13" s="72" t="s">
        <v>40</v>
      </c>
      <c r="D13" s="71" t="s">
        <v>39</v>
      </c>
      <c r="E13" s="70"/>
      <c r="F13" s="69" t="s">
        <v>38</v>
      </c>
      <c r="G13" s="88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153920.63486552567</v>
      </c>
      <c r="E17" s="39">
        <f>SUM(E18:E21)</f>
        <v>30.929095354523231</v>
      </c>
      <c r="F17" s="38">
        <f>SUM(F18:F21)</f>
        <v>143586.09519559902</v>
      </c>
      <c r="G17" s="37">
        <f>G18+G19+G20+G21</f>
        <v>148545.228</v>
      </c>
    </row>
    <row r="18" spans="1:7">
      <c r="A18" s="33"/>
      <c r="B18" s="35" t="s">
        <v>33</v>
      </c>
      <c r="C18" s="36">
        <v>2.58</v>
      </c>
      <c r="D18" s="27">
        <f>C18/C43*D43</f>
        <v>78481.272322738383</v>
      </c>
      <c r="E18" s="27">
        <f>D18/$D$39*100</f>
        <v>15.770171149144256</v>
      </c>
      <c r="F18" s="27">
        <f>C18/C43*F43</f>
        <v>73211.882530562347</v>
      </c>
      <c r="G18" s="61">
        <f>2.24*G11*12</f>
        <v>71250.816000000006</v>
      </c>
    </row>
    <row r="19" spans="1:7">
      <c r="A19" s="33"/>
      <c r="B19" s="35" t="s">
        <v>32</v>
      </c>
      <c r="C19" s="31">
        <v>1.75</v>
      </c>
      <c r="D19" s="27">
        <f>C19/C43*D43</f>
        <v>53233.421149144255</v>
      </c>
      <c r="E19" s="27">
        <f>D19/$D$39*100</f>
        <v>10.696821515892422</v>
      </c>
      <c r="F19" s="27">
        <f>C19/C43*F43</f>
        <v>49659.222646699265</v>
      </c>
      <c r="G19" s="61">
        <f>1.66*G11*12</f>
        <v>52801.943999999989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20989.177481662591</v>
      </c>
      <c r="E20" s="27">
        <f>D20/$D$39*100</f>
        <v>4.21760391198044</v>
      </c>
      <c r="F20" s="27">
        <f>C20/C43*F43</f>
        <v>19579.922072127138</v>
      </c>
      <c r="G20" s="61">
        <f>0.77*G11*12</f>
        <v>24492.468000000001</v>
      </c>
    </row>
    <row r="21" spans="1:7">
      <c r="A21" s="60"/>
      <c r="B21" s="59" t="s">
        <v>30</v>
      </c>
      <c r="C21" s="58">
        <v>0.04</v>
      </c>
      <c r="D21" s="27">
        <f>C21/C43*D43</f>
        <v>1216.7639119804401</v>
      </c>
      <c r="E21" s="27">
        <f>D21/$D$39*100</f>
        <v>0.24449877750611246</v>
      </c>
      <c r="F21" s="27">
        <f>C21/C43*F43</f>
        <v>1135.0679462102689</v>
      </c>
      <c r="G21" s="57">
        <v>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94603.394156479219</v>
      </c>
      <c r="E24" s="39">
        <f>E25+E26</f>
        <v>19.009779951100246</v>
      </c>
      <c r="F24" s="38">
        <f>F25+F26</f>
        <v>88251.532817848405</v>
      </c>
      <c r="G24" s="37">
        <f>G25+G26</f>
        <v>98910.2</v>
      </c>
    </row>
    <row r="25" spans="1:7">
      <c r="A25" s="33"/>
      <c r="B25" s="35" t="s">
        <v>26</v>
      </c>
      <c r="C25" s="36">
        <v>2.36</v>
      </c>
      <c r="D25" s="27">
        <f>C25/C43*D43</f>
        <v>71789.070806845964</v>
      </c>
      <c r="E25" s="27">
        <f>D25/$D$39*100</f>
        <v>14.425427872860636</v>
      </c>
      <c r="F25" s="27">
        <f>C25/C43*F43</f>
        <v>66969.008826405858</v>
      </c>
      <c r="G25" s="26">
        <v>64443</v>
      </c>
    </row>
    <row r="26" spans="1:7">
      <c r="A26" s="33"/>
      <c r="B26" s="35" t="s">
        <v>25</v>
      </c>
      <c r="C26" s="31">
        <v>0.75</v>
      </c>
      <c r="D26" s="27">
        <f>C26/C43*D43</f>
        <v>22814.323349633254</v>
      </c>
      <c r="E26" s="27">
        <f>D26/$D$39*100</f>
        <v>4.5843520782396094</v>
      </c>
      <c r="F26" s="27">
        <f>C26/C43*F43</f>
        <v>21282.523991442544</v>
      </c>
      <c r="G26" s="26">
        <v>34467.199999999997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49887.320391198045</v>
      </c>
      <c r="E27" s="21">
        <f>E28+E29</f>
        <v>10.024449877750612</v>
      </c>
      <c r="F27" s="20">
        <f>F28+F29</f>
        <v>46537.785794621028</v>
      </c>
      <c r="G27" s="19">
        <f>G28+G29</f>
        <v>27073.8</v>
      </c>
    </row>
    <row r="28" spans="1:7">
      <c r="A28" s="33"/>
      <c r="B28" s="32" t="s">
        <v>22</v>
      </c>
      <c r="C28" s="31">
        <v>0.84</v>
      </c>
      <c r="D28" s="27">
        <f>C28/C43*D43</f>
        <v>25552.042151589241</v>
      </c>
      <c r="E28" s="27">
        <f>D28/$D$39*100</f>
        <v>5.1344743276283618</v>
      </c>
      <c r="F28" s="27">
        <f>C28/C43*F43</f>
        <v>23836.426870415646</v>
      </c>
      <c r="G28" s="26">
        <v>18457</v>
      </c>
    </row>
    <row r="29" spans="1:7">
      <c r="A29" s="33"/>
      <c r="B29" s="32" t="s">
        <v>21</v>
      </c>
      <c r="C29" s="31">
        <v>0.8</v>
      </c>
      <c r="D29" s="27">
        <f>C29/C43*D43</f>
        <v>24335.278239608804</v>
      </c>
      <c r="E29" s="27">
        <f>D29/$D$39*100</f>
        <v>4.8899755501222497</v>
      </c>
      <c r="F29" s="27">
        <f>C29/C43*F43</f>
        <v>22701.358924205379</v>
      </c>
      <c r="G29" s="26">
        <v>8616.7999999999993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36807.10833740831</v>
      </c>
      <c r="E30" s="25">
        <f>D30/$D$39*100</f>
        <v>7.3960880195599019</v>
      </c>
      <c r="F30" s="25">
        <f>C30/C43*F43</f>
        <v>34335.805372860632</v>
      </c>
      <c r="G30" s="19">
        <f>1.18*G11*12</f>
        <v>37533.911999999997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138102.70400977996</v>
      </c>
      <c r="E31" s="21">
        <f>SUM(E32:E37)</f>
        <v>27.75061124694377</v>
      </c>
      <c r="F31" s="20">
        <f>SUM(F32:F37)</f>
        <v>128830.21189486554</v>
      </c>
      <c r="G31" s="19">
        <f>G32+G33+G34+G35+G36+G37</f>
        <v>210799.95599999995</v>
      </c>
    </row>
    <row r="32" spans="1:7" ht="19.5">
      <c r="A32" s="18"/>
      <c r="B32" s="32" t="s">
        <v>16</v>
      </c>
      <c r="C32" s="31">
        <v>2.08</v>
      </c>
      <c r="D32" s="27">
        <f>C32/C43*D43</f>
        <v>63271.72342298289</v>
      </c>
      <c r="E32" s="27">
        <f t="shared" ref="E32:E40" si="0">D32/$D$39*100</f>
        <v>12.713936430317849</v>
      </c>
      <c r="F32" s="27">
        <f>C32/C43*F43</f>
        <v>59023.533202933984</v>
      </c>
      <c r="G32" s="34">
        <f>2.57*G11*12</f>
        <v>81747.587999999989</v>
      </c>
    </row>
    <row r="33" spans="1:7">
      <c r="A33" s="33"/>
      <c r="B33" s="32" t="s">
        <v>15</v>
      </c>
      <c r="C33" s="31">
        <v>0.78</v>
      </c>
      <c r="D33" s="27">
        <f>C33/C43*D43</f>
        <v>23726.896283618586</v>
      </c>
      <c r="E33" s="27">
        <f t="shared" si="0"/>
        <v>4.7677261613691932</v>
      </c>
      <c r="F33" s="27">
        <f>C33/C43*F43</f>
        <v>22133.824951100247</v>
      </c>
      <c r="G33" s="26">
        <f xml:space="preserve"> 0.57*G11*12</f>
        <v>18130.787999999997</v>
      </c>
    </row>
    <row r="34" spans="1:7">
      <c r="A34" s="30"/>
      <c r="B34" s="29" t="s">
        <v>14</v>
      </c>
      <c r="C34" s="28">
        <v>0.5</v>
      </c>
      <c r="D34" s="27">
        <f>C34/C43*D43</f>
        <v>15209.548899755502</v>
      </c>
      <c r="E34" s="27">
        <f t="shared" si="0"/>
        <v>3.0562347188264063</v>
      </c>
      <c r="F34" s="27">
        <f>C34/C43*F43</f>
        <v>14188.349327628363</v>
      </c>
      <c r="G34" s="26">
        <f xml:space="preserve"> 0.35*G28*12</f>
        <v>77519.399999999994</v>
      </c>
    </row>
    <row r="35" spans="1:7">
      <c r="A35" s="30"/>
      <c r="B35" s="29" t="s">
        <v>13</v>
      </c>
      <c r="C35" s="28">
        <v>0.35</v>
      </c>
      <c r="D35" s="27">
        <f>C35/C43*D43</f>
        <v>10646.68422982885</v>
      </c>
      <c r="E35" s="27">
        <f t="shared" si="0"/>
        <v>2.1393643031784837</v>
      </c>
      <c r="F35" s="27">
        <f>C35/C43*F43</f>
        <v>9931.8445293398527</v>
      </c>
      <c r="G35" s="26">
        <f xml:space="preserve"> 0.19*G11*12</f>
        <v>6043.5959999999995</v>
      </c>
    </row>
    <row r="36" spans="1:7">
      <c r="A36" s="30"/>
      <c r="B36" s="29" t="s">
        <v>12</v>
      </c>
      <c r="C36" s="28">
        <v>0.39</v>
      </c>
      <c r="D36" s="27">
        <f>C36/C43*D43</f>
        <v>11863.448141809293</v>
      </c>
      <c r="E36" s="27">
        <f t="shared" si="0"/>
        <v>2.3838630806845966</v>
      </c>
      <c r="F36" s="27">
        <f>C36/C43*F43</f>
        <v>11066.912475550123</v>
      </c>
      <c r="G36" s="26">
        <f xml:space="preserve"> 0.28*12</f>
        <v>3.3600000000000003</v>
      </c>
    </row>
    <row r="37" spans="1:7">
      <c r="A37" s="30"/>
      <c r="B37" s="29" t="s">
        <v>11</v>
      </c>
      <c r="C37" s="28">
        <v>0.44</v>
      </c>
      <c r="D37" s="27">
        <f>C37/C43*D43</f>
        <v>13384.403031784843</v>
      </c>
      <c r="E37" s="27">
        <f t="shared" si="0"/>
        <v>2.6894865525672373</v>
      </c>
      <c r="F37" s="27">
        <f>C37/C43*F43</f>
        <v>12485.747408312958</v>
      </c>
      <c r="G37" s="26">
        <f xml:space="preserve"> 0.86*G11*12</f>
        <v>27355.223999999998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24335.278239608804</v>
      </c>
      <c r="E38" s="25">
        <f t="shared" si="0"/>
        <v>4.8899755501222497</v>
      </c>
      <c r="F38" s="25">
        <f>C38/C43*F43</f>
        <v>22701.358924205379</v>
      </c>
      <c r="G38" s="19">
        <f>0.81*G11*12</f>
        <v>25764.804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497656.44</v>
      </c>
      <c r="E39" s="24">
        <f t="shared" si="0"/>
        <v>100</v>
      </c>
      <c r="F39" s="20">
        <f>F17+F24+F27+F30+F31+F38</f>
        <v>464242.79</v>
      </c>
      <c r="G39" s="19">
        <f>G17+G24+G27+G30+G31+G38</f>
        <v>548627.89999999991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497656.44</v>
      </c>
      <c r="E43" s="9">
        <f>E39+E41</f>
        <v>118</v>
      </c>
      <c r="F43" s="8">
        <v>464242.79</v>
      </c>
      <c r="G43" s="7">
        <f>G39+G40</f>
        <v>548627.89999999991</v>
      </c>
    </row>
    <row r="44" spans="1:7">
      <c r="D44" s="2" t="s">
        <v>6</v>
      </c>
      <c r="F44" s="6">
        <v>0.93289999999999995</v>
      </c>
    </row>
    <row r="45" spans="1:7">
      <c r="C45" s="2" t="s">
        <v>50</v>
      </c>
      <c r="G45" s="2">
        <f>F43-G43</f>
        <v>-84385.109999999928</v>
      </c>
    </row>
    <row r="46" spans="1:7" ht="18.75">
      <c r="A46" s="5"/>
      <c r="B46" s="4" t="s">
        <v>4</v>
      </c>
      <c r="C46" s="3">
        <v>128090</v>
      </c>
      <c r="D46" s="3" t="s">
        <v>1</v>
      </c>
    </row>
    <row r="47" spans="1:7" ht="18.75">
      <c r="A47" s="5"/>
      <c r="B47" s="4" t="s">
        <v>3</v>
      </c>
      <c r="C47" s="3">
        <f>D43-F43</f>
        <v>33413.650000000023</v>
      </c>
      <c r="D47" s="3" t="s">
        <v>1</v>
      </c>
    </row>
    <row r="48" spans="1:7" ht="18.75">
      <c r="A48" s="5"/>
      <c r="B48" s="4" t="s">
        <v>2</v>
      </c>
      <c r="C48" s="3">
        <f>C46+C47</f>
        <v>161503.65000000002</v>
      </c>
      <c r="D48" s="3" t="s">
        <v>1</v>
      </c>
    </row>
    <row r="49" spans="1:4" s="1" customFormat="1" ht="18.75">
      <c r="A49" s="5"/>
      <c r="B49" s="4"/>
      <c r="C49" s="3"/>
      <c r="D49" s="3"/>
    </row>
    <row r="53" spans="1:4" s="1" customFormat="1">
      <c r="B53" s="1" t="s">
        <v>58</v>
      </c>
      <c r="C53" s="2"/>
      <c r="D53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6"/>
  <sheetViews>
    <sheetView topLeftCell="A16" zoomScale="75" zoomScaleNormal="50" workbookViewId="0">
      <selection activeCell="G30" sqref="G30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79" t="s">
        <v>62</v>
      </c>
      <c r="B7" s="79"/>
      <c r="C7" s="79"/>
      <c r="D7" s="79"/>
      <c r="E7" s="79"/>
      <c r="F7" s="79"/>
      <c r="G7" s="79"/>
    </row>
    <row r="8" spans="1:7" ht="18.75">
      <c r="A8" s="79" t="s">
        <v>61</v>
      </c>
      <c r="B8" s="79"/>
      <c r="C8" s="79"/>
      <c r="D8" s="79"/>
      <c r="E8" s="79"/>
      <c r="F8" s="79"/>
      <c r="G8" s="79"/>
    </row>
    <row r="9" spans="1:7" ht="18.75">
      <c r="A9" s="79" t="s">
        <v>45</v>
      </c>
      <c r="B9" s="79"/>
      <c r="C9" s="79"/>
      <c r="D9" s="79"/>
      <c r="E9" s="79"/>
      <c r="F9" s="79"/>
      <c r="G9" s="79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2703.9</v>
      </c>
    </row>
    <row r="12" spans="1:7" ht="16.5" thickBot="1">
      <c r="A12" s="83" t="s">
        <v>44</v>
      </c>
      <c r="B12" s="85" t="s">
        <v>43</v>
      </c>
      <c r="C12" s="80" t="s">
        <v>42</v>
      </c>
      <c r="D12" s="81"/>
      <c r="E12" s="81"/>
      <c r="F12" s="82"/>
      <c r="G12" s="87" t="s">
        <v>41</v>
      </c>
    </row>
    <row r="13" spans="1:7">
      <c r="A13" s="84"/>
      <c r="B13" s="86"/>
      <c r="C13" s="72" t="s">
        <v>40</v>
      </c>
      <c r="D13" s="71" t="s">
        <v>39</v>
      </c>
      <c r="E13" s="70"/>
      <c r="F13" s="69" t="s">
        <v>38</v>
      </c>
      <c r="G13" s="88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164197.3340342298</v>
      </c>
      <c r="E17" s="39">
        <f>SUM(E18:E21)</f>
        <v>30.929095354523234</v>
      </c>
      <c r="F17" s="38">
        <f>SUM(F18:F21)</f>
        <v>153773.67526894869</v>
      </c>
      <c r="G17" s="37">
        <f>G18+G19+G20+G21</f>
        <v>151526.55600000001</v>
      </c>
    </row>
    <row r="18" spans="1:7">
      <c r="A18" s="33"/>
      <c r="B18" s="35" t="s">
        <v>33</v>
      </c>
      <c r="C18" s="36">
        <v>2.58</v>
      </c>
      <c r="D18" s="27">
        <f>C18/C43*D43</f>
        <v>83721.170317848402</v>
      </c>
      <c r="E18" s="27">
        <f>D18/$D$39*100</f>
        <v>15.770171149144257</v>
      </c>
      <c r="F18" s="27">
        <f>C18/C43*F43</f>
        <v>78406.340354523229</v>
      </c>
      <c r="G18" s="61">
        <f>2.24*G11*12</f>
        <v>72680.832000000009</v>
      </c>
    </row>
    <row r="19" spans="1:7">
      <c r="A19" s="33"/>
      <c r="B19" s="35" t="s">
        <v>32</v>
      </c>
      <c r="C19" s="31">
        <v>1.75</v>
      </c>
      <c r="D19" s="27">
        <f>C19/C43*D43</f>
        <v>56787.615525672372</v>
      </c>
      <c r="E19" s="27">
        <f>D19/$D$39*100</f>
        <v>10.696821515892424</v>
      </c>
      <c r="F19" s="27">
        <f>C19/C43*F43</f>
        <v>53182.595201711491</v>
      </c>
      <c r="G19" s="61">
        <f>1.66*G11*12</f>
        <v>53861.688000000002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22390.545550122246</v>
      </c>
      <c r="E20" s="27">
        <f>D20/$D$39*100</f>
        <v>4.2176039119804409</v>
      </c>
      <c r="F20" s="27">
        <f>C20/C43*F43</f>
        <v>20969.137536674814</v>
      </c>
      <c r="G20" s="61">
        <f>0.77*G11*12</f>
        <v>24984.036</v>
      </c>
    </row>
    <row r="21" spans="1:7">
      <c r="A21" s="60"/>
      <c r="B21" s="59" t="s">
        <v>30</v>
      </c>
      <c r="C21" s="58">
        <v>0.04</v>
      </c>
      <c r="D21" s="27">
        <f>C21/C43*D43</f>
        <v>1298.002640586797</v>
      </c>
      <c r="E21" s="27">
        <f>D21/$D$39*100</f>
        <v>0.24449877750611254</v>
      </c>
      <c r="F21" s="27">
        <f>C21/C43*F43</f>
        <v>1215.6021760391197</v>
      </c>
      <c r="G21" s="57">
        <v>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100919.70530562347</v>
      </c>
      <c r="E24" s="39">
        <f>E25+E26</f>
        <v>19.009779951100249</v>
      </c>
      <c r="F24" s="38">
        <f>F25+F26</f>
        <v>94513.069187041561</v>
      </c>
      <c r="G24" s="37">
        <f>G25+G26</f>
        <v>56869</v>
      </c>
    </row>
    <row r="25" spans="1:7">
      <c r="A25" s="33"/>
      <c r="B25" s="35" t="s">
        <v>26</v>
      </c>
      <c r="C25" s="36">
        <v>2.36</v>
      </c>
      <c r="D25" s="27">
        <f>C25/C43*D43</f>
        <v>76582.155794621023</v>
      </c>
      <c r="E25" s="27">
        <f>D25/$D$39*100</f>
        <v>14.425427872860638</v>
      </c>
      <c r="F25" s="27">
        <f>C25/C43*F43</f>
        <v>71720.528386308069</v>
      </c>
      <c r="G25" s="26">
        <v>38450</v>
      </c>
    </row>
    <row r="26" spans="1:7">
      <c r="A26" s="33"/>
      <c r="B26" s="35" t="s">
        <v>25</v>
      </c>
      <c r="C26" s="31">
        <v>0.75</v>
      </c>
      <c r="D26" s="27">
        <f>C26/C43*D43</f>
        <v>24337.549511002446</v>
      </c>
      <c r="E26" s="27">
        <f>D26/$D$39*100</f>
        <v>4.5843520782396103</v>
      </c>
      <c r="F26" s="27">
        <f>C26/C43*F43</f>
        <v>22792.540800733495</v>
      </c>
      <c r="G26" s="26">
        <v>18419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53218.108264058683</v>
      </c>
      <c r="E27" s="21">
        <f>E28+E29</f>
        <v>10.024449877750616</v>
      </c>
      <c r="F27" s="20">
        <f>F28+F29</f>
        <v>49839.689217603911</v>
      </c>
      <c r="G27" s="19">
        <f>G28+G29</f>
        <v>201504</v>
      </c>
    </row>
    <row r="28" spans="1:7">
      <c r="A28" s="33"/>
      <c r="B28" s="32" t="s">
        <v>22</v>
      </c>
      <c r="C28" s="31">
        <v>0.84</v>
      </c>
      <c r="D28" s="27">
        <f>C28/C43*D43</f>
        <v>27258.055452322737</v>
      </c>
      <c r="E28" s="27">
        <f>D28/$D$39*100</f>
        <v>5.1344743276283635</v>
      </c>
      <c r="F28" s="27">
        <f>C28/C43*F43</f>
        <v>25527.645696821513</v>
      </c>
      <c r="G28" s="26">
        <v>3276</v>
      </c>
    </row>
    <row r="29" spans="1:7">
      <c r="A29" s="33"/>
      <c r="B29" s="32" t="s">
        <v>21</v>
      </c>
      <c r="C29" s="31">
        <v>0.8</v>
      </c>
      <c r="D29" s="27">
        <f>C29/C43*D43</f>
        <v>25960.052811735943</v>
      </c>
      <c r="E29" s="27">
        <f>D29/$D$39*100</f>
        <v>4.8899755501222515</v>
      </c>
      <c r="F29" s="27">
        <f>C29/C43*F43</f>
        <v>24312.043520782398</v>
      </c>
      <c r="G29" s="26">
        <v>198228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39264.579877750606</v>
      </c>
      <c r="E30" s="25">
        <f>D30/$D$39*100</f>
        <v>7.3960880195599028</v>
      </c>
      <c r="F30" s="25">
        <f>C30/C43*F43</f>
        <v>36771.965825183368</v>
      </c>
      <c r="G30" s="19">
        <f>1.18*G11*12</f>
        <v>38287.224000000002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147323.29970660145</v>
      </c>
      <c r="E31" s="21">
        <f>SUM(E32:E37)</f>
        <v>27.750611246943777</v>
      </c>
      <c r="F31" s="20">
        <f>SUM(F32:F37)</f>
        <v>137970.84698044008</v>
      </c>
      <c r="G31" s="19">
        <f>G32+G33+G34+G35+G36+G37</f>
        <v>154122.30000000002</v>
      </c>
    </row>
    <row r="32" spans="1:7" ht="19.5">
      <c r="A32" s="18"/>
      <c r="B32" s="32" t="s">
        <v>16</v>
      </c>
      <c r="C32" s="31">
        <v>2.08</v>
      </c>
      <c r="D32" s="27">
        <f>C32/C43*D43</f>
        <v>67496.137310513441</v>
      </c>
      <c r="E32" s="27">
        <f t="shared" ref="E32:E40" si="0">D32/$D$39*100</f>
        <v>12.713936430317851</v>
      </c>
      <c r="F32" s="27">
        <f>C32/C43*F43</f>
        <v>63211.313154034229</v>
      </c>
      <c r="G32" s="34">
        <f>2.57*G11*12</f>
        <v>83388.275999999998</v>
      </c>
    </row>
    <row r="33" spans="1:7">
      <c r="A33" s="33"/>
      <c r="B33" s="32" t="s">
        <v>15</v>
      </c>
      <c r="C33" s="31">
        <v>0.78</v>
      </c>
      <c r="D33" s="27">
        <f>C33/C43*D43</f>
        <v>25311.051491442544</v>
      </c>
      <c r="E33" s="27">
        <f t="shared" si="0"/>
        <v>4.767726161369195</v>
      </c>
      <c r="F33" s="27">
        <f>C33/C43*F43</f>
        <v>23704.242432762836</v>
      </c>
      <c r="G33" s="26">
        <f xml:space="preserve"> 0.57*G11*12</f>
        <v>18494.675999999999</v>
      </c>
    </row>
    <row r="34" spans="1:7">
      <c r="A34" s="30"/>
      <c r="B34" s="29" t="s">
        <v>14</v>
      </c>
      <c r="C34" s="28">
        <v>0.5</v>
      </c>
      <c r="D34" s="27">
        <f>C34/C43*D43</f>
        <v>16225.033007334963</v>
      </c>
      <c r="E34" s="27">
        <f t="shared" si="0"/>
        <v>3.0562347188264067</v>
      </c>
      <c r="F34" s="27">
        <f>C34/C43*F43</f>
        <v>15195.027200488998</v>
      </c>
      <c r="G34" s="26">
        <f xml:space="preserve"> 0.28*G11*12</f>
        <v>9085.1040000000012</v>
      </c>
    </row>
    <row r="35" spans="1:7">
      <c r="A35" s="30"/>
      <c r="B35" s="29" t="s">
        <v>13</v>
      </c>
      <c r="C35" s="28">
        <v>0.35</v>
      </c>
      <c r="D35" s="27">
        <f>C35/C43*D43</f>
        <v>11357.523105134473</v>
      </c>
      <c r="E35" s="27">
        <f t="shared" si="0"/>
        <v>2.1393643031784846</v>
      </c>
      <c r="F35" s="27">
        <f>C35/C43*F43</f>
        <v>10636.519040342297</v>
      </c>
      <c r="G35" s="26">
        <f xml:space="preserve"> 0.19*G11*12</f>
        <v>6164.8919999999998</v>
      </c>
    </row>
    <row r="36" spans="1:7">
      <c r="A36" s="30"/>
      <c r="B36" s="29" t="s">
        <v>12</v>
      </c>
      <c r="C36" s="28">
        <v>0.39</v>
      </c>
      <c r="D36" s="27">
        <f>C36/C43*D43</f>
        <v>12655.525745721272</v>
      </c>
      <c r="E36" s="27">
        <f t="shared" si="0"/>
        <v>2.3838630806845975</v>
      </c>
      <c r="F36" s="27">
        <f>C36/C43*F43</f>
        <v>11852.121216381418</v>
      </c>
      <c r="G36" s="26">
        <f xml:space="preserve"> 0.28*G11*12</f>
        <v>9085.1040000000012</v>
      </c>
    </row>
    <row r="37" spans="1:7">
      <c r="A37" s="30"/>
      <c r="B37" s="29" t="s">
        <v>11</v>
      </c>
      <c r="C37" s="28">
        <v>0.44</v>
      </c>
      <c r="D37" s="27">
        <f>C37/C43*D43</f>
        <v>14278.029046454767</v>
      </c>
      <c r="E37" s="27">
        <f t="shared" si="0"/>
        <v>2.6894865525672378</v>
      </c>
      <c r="F37" s="27">
        <f>C37/C43*F43</f>
        <v>13371.623936430318</v>
      </c>
      <c r="G37" s="26">
        <f xml:space="preserve"> 0.86*G11*12</f>
        <v>27904.248000000003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25960.052811735943</v>
      </c>
      <c r="E38" s="25">
        <f t="shared" si="0"/>
        <v>4.8899755501222515</v>
      </c>
      <c r="F38" s="25">
        <f>C38/C43*F43</f>
        <v>24312.043520782398</v>
      </c>
      <c r="G38" s="19">
        <f xml:space="preserve"> 0.81*G11*12</f>
        <v>26281.908000000003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530883.07999999984</v>
      </c>
      <c r="E39" s="24">
        <f t="shared" si="0"/>
        <v>100</v>
      </c>
      <c r="F39" s="20">
        <f>F17+F24+F27+F30+F31+F38</f>
        <v>497181.29</v>
      </c>
      <c r="G39" s="19">
        <f>G17+G24+G27+G30+G31+G38</f>
        <v>628590.98800000001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530883.07999999996</v>
      </c>
      <c r="E43" s="9">
        <f>E39+E41</f>
        <v>118</v>
      </c>
      <c r="F43" s="8">
        <v>497181.29</v>
      </c>
      <c r="G43" s="7">
        <f>G39+G40</f>
        <v>628590.98800000001</v>
      </c>
    </row>
    <row r="44" spans="1:7">
      <c r="D44" s="2" t="s">
        <v>6</v>
      </c>
      <c r="F44" s="6">
        <f>F43/D43</f>
        <v>0.93651749081925917</v>
      </c>
    </row>
    <row r="45" spans="1:7">
      <c r="C45" s="2" t="s">
        <v>60</v>
      </c>
      <c r="G45" s="2">
        <f>F43-G43</f>
        <v>-131409.69800000003</v>
      </c>
    </row>
    <row r="46" spans="1:7" ht="18.75">
      <c r="A46" s="5"/>
      <c r="B46" s="4" t="s">
        <v>4</v>
      </c>
      <c r="C46" s="3">
        <v>164824.23000000001</v>
      </c>
      <c r="D46" s="3" t="s">
        <v>1</v>
      </c>
    </row>
    <row r="47" spans="1:7" ht="18.75">
      <c r="A47" s="5"/>
      <c r="B47" s="4" t="s">
        <v>3</v>
      </c>
      <c r="C47" s="3">
        <f>D43-F43</f>
        <v>33701.789999999979</v>
      </c>
      <c r="D47" s="3" t="s">
        <v>1</v>
      </c>
    </row>
    <row r="48" spans="1:7" ht="18.75">
      <c r="A48" s="5"/>
      <c r="B48" s="4" t="s">
        <v>2</v>
      </c>
      <c r="C48" s="3">
        <f>C46+C47</f>
        <v>198526.02</v>
      </c>
      <c r="D48" s="3" t="s">
        <v>1</v>
      </c>
    </row>
    <row r="49" spans="1:4" s="1" customFormat="1" ht="18.75">
      <c r="A49" s="5"/>
      <c r="B49" s="4"/>
      <c r="C49" s="3"/>
      <c r="D49" s="3"/>
    </row>
    <row r="56" spans="1:4" s="1" customFormat="1">
      <c r="B56" s="1" t="s">
        <v>58</v>
      </c>
      <c r="C56" s="2"/>
      <c r="D56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topLeftCell="A16" zoomScale="75" zoomScaleNormal="50" workbookViewId="0">
      <selection activeCell="G30" sqref="G30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79" t="s">
        <v>65</v>
      </c>
      <c r="B7" s="79"/>
      <c r="C7" s="79"/>
      <c r="D7" s="79"/>
      <c r="E7" s="79"/>
      <c r="F7" s="79"/>
      <c r="G7" s="79"/>
    </row>
    <row r="8" spans="1:7" ht="18.75">
      <c r="A8" s="79" t="s">
        <v>64</v>
      </c>
      <c r="B8" s="79"/>
      <c r="C8" s="79"/>
      <c r="D8" s="79"/>
      <c r="E8" s="79"/>
      <c r="F8" s="79"/>
      <c r="G8" s="79"/>
    </row>
    <row r="9" spans="1:7" ht="18.75">
      <c r="A9" s="79" t="s">
        <v>45</v>
      </c>
      <c r="B9" s="79"/>
      <c r="C9" s="79"/>
      <c r="D9" s="79"/>
      <c r="E9" s="79"/>
      <c r="F9" s="79"/>
      <c r="G9" s="79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3521.3</v>
      </c>
    </row>
    <row r="12" spans="1:7" ht="16.5" thickBot="1">
      <c r="A12" s="83" t="s">
        <v>44</v>
      </c>
      <c r="B12" s="85" t="s">
        <v>43</v>
      </c>
      <c r="C12" s="80" t="s">
        <v>42</v>
      </c>
      <c r="D12" s="81"/>
      <c r="E12" s="81"/>
      <c r="F12" s="82"/>
      <c r="G12" s="87" t="s">
        <v>41</v>
      </c>
    </row>
    <row r="13" spans="1:7">
      <c r="A13" s="84"/>
      <c r="B13" s="86"/>
      <c r="C13" s="72" t="s">
        <v>40</v>
      </c>
      <c r="D13" s="71" t="s">
        <v>39</v>
      </c>
      <c r="E13" s="70"/>
      <c r="F13" s="69" t="s">
        <v>38</v>
      </c>
      <c r="G13" s="88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213813.04650366749</v>
      </c>
      <c r="E17" s="39">
        <f>SUM(E18:E21)</f>
        <v>30.929095354523231</v>
      </c>
      <c r="F17" s="38">
        <f>SUM(F18:F21)</f>
        <v>207459.08140586797</v>
      </c>
      <c r="G17" s="37">
        <f>G18+G19+G20+G21</f>
        <v>197333.65200000003</v>
      </c>
    </row>
    <row r="18" spans="1:7">
      <c r="A18" s="33"/>
      <c r="B18" s="35" t="s">
        <v>33</v>
      </c>
      <c r="C18" s="36">
        <v>2.58</v>
      </c>
      <c r="D18" s="27">
        <f>C18/C43*D43</f>
        <v>109019.30039119805</v>
      </c>
      <c r="E18" s="27">
        <f>D18/$D$39*100</f>
        <v>15.770171149144256</v>
      </c>
      <c r="F18" s="27">
        <f>C18/C43*F43</f>
        <v>105779.53162591688</v>
      </c>
      <c r="G18" s="61">
        <f>2.24*G11*12</f>
        <v>94652.544000000024</v>
      </c>
    </row>
    <row r="19" spans="1:7">
      <c r="A19" s="33"/>
      <c r="B19" s="35" t="s">
        <v>32</v>
      </c>
      <c r="C19" s="31">
        <v>1.75</v>
      </c>
      <c r="D19" s="27">
        <f>C19/C43*D43</f>
        <v>73947.199877750623</v>
      </c>
      <c r="E19" s="27">
        <f>D19/$D$39*100</f>
        <v>10.696821515892422</v>
      </c>
      <c r="F19" s="27">
        <f>C19/C43*F43</f>
        <v>71749.68230440098</v>
      </c>
      <c r="G19" s="61">
        <f>1.66*G11*12</f>
        <v>70144.296000000002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29156.324523227388</v>
      </c>
      <c r="E20" s="27">
        <f>D20/$D$39*100</f>
        <v>4.21760391198044</v>
      </c>
      <c r="F20" s="27">
        <f>C20/C43*F43</f>
        <v>28289.874737163816</v>
      </c>
      <c r="G20" s="61">
        <f>0.77*G11*12</f>
        <v>32536.812000000005</v>
      </c>
    </row>
    <row r="21" spans="1:7">
      <c r="A21" s="60"/>
      <c r="B21" s="59" t="s">
        <v>30</v>
      </c>
      <c r="C21" s="58">
        <v>0.04</v>
      </c>
      <c r="D21" s="27">
        <f>C21/C43*D43</f>
        <v>1690.2217114914426</v>
      </c>
      <c r="E21" s="27">
        <f>D21/$D$39*100</f>
        <v>0.24449877750611246</v>
      </c>
      <c r="F21" s="27">
        <f>C21/C43*F43</f>
        <v>1639.992738386308</v>
      </c>
      <c r="G21" s="57">
        <v>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131414.73806845967</v>
      </c>
      <c r="E24" s="39">
        <f>E25+E26</f>
        <v>19.009779951100246</v>
      </c>
      <c r="F24" s="38">
        <f>F25+F26</f>
        <v>127509.43540953545</v>
      </c>
      <c r="G24" s="37">
        <f>G25+G26</f>
        <v>88361.4</v>
      </c>
    </row>
    <row r="25" spans="1:7">
      <c r="A25" s="33"/>
      <c r="B25" s="35" t="s">
        <v>26</v>
      </c>
      <c r="C25" s="36">
        <v>2.36</v>
      </c>
      <c r="D25" s="27">
        <f>C25/C43*D43</f>
        <v>99723.080977995123</v>
      </c>
      <c r="E25" s="27">
        <f>D25/$D$39*100</f>
        <v>14.425427872860636</v>
      </c>
      <c r="F25" s="27">
        <f>C25/C43*F43</f>
        <v>96759.571564792175</v>
      </c>
      <c r="G25" s="26">
        <v>61719</v>
      </c>
    </row>
    <row r="26" spans="1:7">
      <c r="A26" s="33"/>
      <c r="B26" s="35" t="s">
        <v>25</v>
      </c>
      <c r="C26" s="31">
        <v>0.75</v>
      </c>
      <c r="D26" s="27">
        <f>C26/C43*D43</f>
        <v>31691.657090464552</v>
      </c>
      <c r="E26" s="27">
        <f>D26/$D$39*100</f>
        <v>4.5843520782396094</v>
      </c>
      <c r="F26" s="27">
        <f>C26/C43*F43</f>
        <v>30749.863844743279</v>
      </c>
      <c r="G26" s="26">
        <v>26642.400000000001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69299.090171149146</v>
      </c>
      <c r="E27" s="21">
        <f>E28+E29</f>
        <v>10.024449877750612</v>
      </c>
      <c r="F27" s="20">
        <f>F28+F29</f>
        <v>67239.702273838629</v>
      </c>
      <c r="G27" s="19">
        <f>G28+G29</f>
        <v>8552.6</v>
      </c>
    </row>
    <row r="28" spans="1:7">
      <c r="A28" s="33"/>
      <c r="B28" s="32" t="s">
        <v>22</v>
      </c>
      <c r="C28" s="31">
        <v>0.84</v>
      </c>
      <c r="D28" s="27">
        <f>C28/C43*D43</f>
        <v>35494.655941320299</v>
      </c>
      <c r="E28" s="27">
        <f>D28/$D$39*100</f>
        <v>5.1344743276283626</v>
      </c>
      <c r="F28" s="27">
        <f>C28/C43*F43</f>
        <v>34439.84750611247</v>
      </c>
      <c r="G28" s="26">
        <v>1892</v>
      </c>
    </row>
    <row r="29" spans="1:7">
      <c r="A29" s="33"/>
      <c r="B29" s="32" t="s">
        <v>21</v>
      </c>
      <c r="C29" s="31">
        <v>0.8</v>
      </c>
      <c r="D29" s="27">
        <f>C29/C43*D43</f>
        <v>33804.434229828854</v>
      </c>
      <c r="E29" s="27">
        <f>D29/$D$39*100</f>
        <v>4.8899755501222497</v>
      </c>
      <c r="F29" s="27">
        <f>C29/C43*F43</f>
        <v>32799.854767726167</v>
      </c>
      <c r="G29" s="26">
        <v>6660.6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51129.206772616133</v>
      </c>
      <c r="E30" s="25">
        <f>D30/$D$39*100</f>
        <v>7.3960880195599019</v>
      </c>
      <c r="F30" s="25">
        <f>C30/C43*F43</f>
        <v>49609.780336185817</v>
      </c>
      <c r="G30" s="19">
        <f>1.18*G11*12</f>
        <v>49861.608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191840.16425427879</v>
      </c>
      <c r="E31" s="21">
        <f>SUM(E32:E37)</f>
        <v>27.75061124694377</v>
      </c>
      <c r="F31" s="20">
        <f>SUM(F32:F37)</f>
        <v>186139.175806846</v>
      </c>
      <c r="G31" s="19">
        <f>G32+G33+G34+G35+G36+G37</f>
        <v>200714.10000000003</v>
      </c>
    </row>
    <row r="32" spans="1:7" ht="19.5">
      <c r="A32" s="18"/>
      <c r="B32" s="32" t="s">
        <v>16</v>
      </c>
      <c r="C32" s="31">
        <v>2.08</v>
      </c>
      <c r="D32" s="27">
        <f>C32/C43*D43</f>
        <v>87891.528997555026</v>
      </c>
      <c r="E32" s="27">
        <f t="shared" ref="E32:E40" si="0">D32/$D$39*100</f>
        <v>12.713936430317849</v>
      </c>
      <c r="F32" s="27">
        <f>C32/C43*F43</f>
        <v>85279.622396088031</v>
      </c>
      <c r="G32" s="34">
        <f>2.57*G11*12</f>
        <v>108596.89199999999</v>
      </c>
    </row>
    <row r="33" spans="1:7">
      <c r="A33" s="33"/>
      <c r="B33" s="32" t="s">
        <v>15</v>
      </c>
      <c r="C33" s="31">
        <v>0.78</v>
      </c>
      <c r="D33" s="27">
        <f>C33/C43*D43</f>
        <v>32959.323374083135</v>
      </c>
      <c r="E33" s="27">
        <f t="shared" si="0"/>
        <v>4.7677261613691932</v>
      </c>
      <c r="F33" s="27">
        <f>C33/C43*F43</f>
        <v>31979.858398533011</v>
      </c>
      <c r="G33" s="26">
        <f xml:space="preserve"> 0.57*G11*12</f>
        <v>24085.691999999999</v>
      </c>
    </row>
    <row r="34" spans="1:7">
      <c r="A34" s="30"/>
      <c r="B34" s="29" t="s">
        <v>14</v>
      </c>
      <c r="C34" s="28">
        <v>0.5</v>
      </c>
      <c r="D34" s="27">
        <f>C34/C43*D43</f>
        <v>21127.771393643034</v>
      </c>
      <c r="E34" s="27">
        <f t="shared" si="0"/>
        <v>3.0562347188264063</v>
      </c>
      <c r="F34" s="27">
        <f>C34/C43*F43</f>
        <v>20499.909229828852</v>
      </c>
      <c r="G34" s="26">
        <f xml:space="preserve"> 0.28*G11*12</f>
        <v>11831.568000000003</v>
      </c>
    </row>
    <row r="35" spans="1:7">
      <c r="A35" s="30"/>
      <c r="B35" s="29" t="s">
        <v>13</v>
      </c>
      <c r="C35" s="28">
        <v>0.35</v>
      </c>
      <c r="D35" s="27">
        <f>C35/C43*D43</f>
        <v>14789.439975550122</v>
      </c>
      <c r="E35" s="27">
        <f t="shared" si="0"/>
        <v>2.1393643031784837</v>
      </c>
      <c r="F35" s="27">
        <f>C35/C43*F43</f>
        <v>14349.936460880195</v>
      </c>
      <c r="G35" s="26">
        <f xml:space="preserve"> 0.19*G11*12</f>
        <v>8028.5640000000003</v>
      </c>
    </row>
    <row r="36" spans="1:7">
      <c r="A36" s="30"/>
      <c r="B36" s="29" t="s">
        <v>12</v>
      </c>
      <c r="C36" s="28">
        <v>0.39</v>
      </c>
      <c r="D36" s="27">
        <f>C36/C43*D43</f>
        <v>16479.661687041567</v>
      </c>
      <c r="E36" s="27">
        <f t="shared" si="0"/>
        <v>2.3838630806845966</v>
      </c>
      <c r="F36" s="27">
        <f>C36/C43*F43</f>
        <v>15989.929199266506</v>
      </c>
      <c r="G36" s="26">
        <f xml:space="preserve"> 0.28*G11*12</f>
        <v>11831.568000000003</v>
      </c>
    </row>
    <row r="37" spans="1:7">
      <c r="A37" s="30"/>
      <c r="B37" s="29" t="s">
        <v>11</v>
      </c>
      <c r="C37" s="28">
        <v>0.44</v>
      </c>
      <c r="D37" s="27">
        <f>C37/C43*D43</f>
        <v>18592.438826405873</v>
      </c>
      <c r="E37" s="27">
        <f t="shared" si="0"/>
        <v>2.6894865525672378</v>
      </c>
      <c r="F37" s="27">
        <f>C37/C43*F43</f>
        <v>18039.92012224939</v>
      </c>
      <c r="G37" s="26">
        <f xml:space="preserve"> 0.86*G11*12</f>
        <v>36339.816000000006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33804.434229828854</v>
      </c>
      <c r="E38" s="25">
        <f t="shared" si="0"/>
        <v>4.8899755501222497</v>
      </c>
      <c r="F38" s="25">
        <f>C38/C43*F43</f>
        <v>32799.854767726167</v>
      </c>
      <c r="G38" s="19">
        <f xml:space="preserve"> 0.81*G11*12</f>
        <v>34227.036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691300.68</v>
      </c>
      <c r="E39" s="24">
        <f t="shared" si="0"/>
        <v>100</v>
      </c>
      <c r="F39" s="20">
        <f>F17+F24+F27+F30+F31+F38</f>
        <v>670757.03</v>
      </c>
      <c r="G39" s="19">
        <f>G17+G24+G27+G30+G31+G38</f>
        <v>579050.39600000007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691300.68</v>
      </c>
      <c r="E43" s="9">
        <f>E39+E41</f>
        <v>118</v>
      </c>
      <c r="F43" s="8">
        <v>670757.03</v>
      </c>
      <c r="G43" s="7">
        <f>G39+G40</f>
        <v>579050.39600000007</v>
      </c>
    </row>
    <row r="44" spans="1:7">
      <c r="D44" s="2" t="s">
        <v>6</v>
      </c>
      <c r="F44" s="6">
        <f>F39/D39</f>
        <v>0.97028261276988759</v>
      </c>
    </row>
    <row r="45" spans="1:7">
      <c r="C45" s="2" t="s">
        <v>63</v>
      </c>
      <c r="G45" s="2">
        <f>F43-G43</f>
        <v>91706.633999999962</v>
      </c>
    </row>
    <row r="46" spans="1:7" ht="18.75">
      <c r="A46" s="5"/>
      <c r="B46" s="4" t="s">
        <v>4</v>
      </c>
      <c r="C46" s="3">
        <v>141334.92000000001</v>
      </c>
      <c r="D46" s="3" t="s">
        <v>1</v>
      </c>
    </row>
    <row r="47" spans="1:7" ht="18.75">
      <c r="A47" s="5"/>
      <c r="B47" s="4" t="s">
        <v>3</v>
      </c>
      <c r="C47" s="3">
        <f>D43-F43</f>
        <v>20543.650000000023</v>
      </c>
      <c r="D47" s="3" t="s">
        <v>1</v>
      </c>
    </row>
    <row r="48" spans="1:7" ht="18.75">
      <c r="A48" s="5"/>
      <c r="B48" s="4" t="s">
        <v>2</v>
      </c>
      <c r="C48" s="3">
        <f>C46+C47</f>
        <v>161878.57000000004</v>
      </c>
      <c r="D48" s="3" t="s">
        <v>1</v>
      </c>
    </row>
    <row r="49" spans="1:4" s="1" customFormat="1" ht="18.75">
      <c r="A49" s="5"/>
      <c r="B49" s="4"/>
      <c r="C49" s="3"/>
      <c r="D49" s="3"/>
    </row>
    <row r="55" spans="1:4" s="1" customFormat="1">
      <c r="B55" s="1" t="s">
        <v>58</v>
      </c>
      <c r="C55" s="2"/>
      <c r="D55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4"/>
  <sheetViews>
    <sheetView topLeftCell="A13" zoomScale="75" zoomScaleNormal="50" workbookViewId="0">
      <selection activeCell="G37" sqref="G37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79" t="s">
        <v>47</v>
      </c>
      <c r="B7" s="79"/>
      <c r="C7" s="79"/>
      <c r="D7" s="79"/>
      <c r="E7" s="79"/>
      <c r="F7" s="79"/>
      <c r="G7" s="79"/>
    </row>
    <row r="8" spans="1:7" ht="18.75">
      <c r="A8" s="79" t="s">
        <v>46</v>
      </c>
      <c r="B8" s="79"/>
      <c r="C8" s="79"/>
      <c r="D8" s="79"/>
      <c r="E8" s="79"/>
      <c r="F8" s="79"/>
      <c r="G8" s="79"/>
    </row>
    <row r="9" spans="1:7" ht="18.75">
      <c r="A9" s="79" t="s">
        <v>45</v>
      </c>
      <c r="B9" s="79"/>
      <c r="C9" s="79"/>
      <c r="D9" s="79"/>
      <c r="E9" s="79"/>
      <c r="F9" s="79"/>
      <c r="G9" s="79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2690.4</v>
      </c>
    </row>
    <row r="12" spans="1:7" ht="16.5" thickBot="1">
      <c r="A12" s="83" t="s">
        <v>44</v>
      </c>
      <c r="B12" s="85" t="s">
        <v>43</v>
      </c>
      <c r="C12" s="80" t="s">
        <v>42</v>
      </c>
      <c r="D12" s="81"/>
      <c r="E12" s="81"/>
      <c r="F12" s="82"/>
      <c r="G12" s="87" t="s">
        <v>41</v>
      </c>
    </row>
    <row r="13" spans="1:7">
      <c r="A13" s="84"/>
      <c r="B13" s="86"/>
      <c r="C13" s="72" t="s">
        <v>40</v>
      </c>
      <c r="D13" s="71" t="s">
        <v>39</v>
      </c>
      <c r="E13" s="70"/>
      <c r="F13" s="69" t="s">
        <v>38</v>
      </c>
      <c r="G13" s="88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163361.48141809294</v>
      </c>
      <c r="E17" s="39">
        <f>SUM(E18:E21)</f>
        <v>30.929095354523231</v>
      </c>
      <c r="F17" s="38">
        <f>SUM(F18:F21)</f>
        <v>164665.64693154034</v>
      </c>
      <c r="G17" s="37">
        <f>G18+G19+G20+G21</f>
        <v>150770.01600000003</v>
      </c>
    </row>
    <row r="18" spans="1:7">
      <c r="A18" s="33"/>
      <c r="B18" s="35" t="s">
        <v>33</v>
      </c>
      <c r="C18" s="36">
        <v>2.58</v>
      </c>
      <c r="D18" s="27">
        <f>C18/C43*D43</f>
        <v>83294.984596577022</v>
      </c>
      <c r="E18" s="27">
        <f>D18/$D$39*100</f>
        <v>15.770171149144256</v>
      </c>
      <c r="F18" s="27">
        <f>C18/C43*F43</f>
        <v>83959.954364303179</v>
      </c>
      <c r="G18" s="61">
        <f>2.24*G11*12</f>
        <v>72317.952000000019</v>
      </c>
    </row>
    <row r="19" spans="1:7">
      <c r="A19" s="33"/>
      <c r="B19" s="35" t="s">
        <v>32</v>
      </c>
      <c r="C19" s="31">
        <v>1.75</v>
      </c>
      <c r="D19" s="27">
        <f>C19/C43*D43</f>
        <v>56498.536063569685</v>
      </c>
      <c r="E19" s="27">
        <f>D19/$D$39*100</f>
        <v>10.696821515892422</v>
      </c>
      <c r="F19" s="27">
        <f>C19/C43*F43</f>
        <v>56949.581448655255</v>
      </c>
      <c r="G19" s="61">
        <f>1.66*G11*12</f>
        <v>53592.768000000004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22276.565647921758</v>
      </c>
      <c r="E20" s="27">
        <f>D20/$D$39*100</f>
        <v>4.21760391198044</v>
      </c>
      <c r="F20" s="27">
        <f>C20/C43*F43</f>
        <v>22454.406399755502</v>
      </c>
      <c r="G20" s="61">
        <f>0.77*G11*12</f>
        <v>24859.296000000002</v>
      </c>
    </row>
    <row r="21" spans="1:7">
      <c r="A21" s="60"/>
      <c r="B21" s="59" t="s">
        <v>30</v>
      </c>
      <c r="C21" s="58">
        <v>0.04</v>
      </c>
      <c r="D21" s="27">
        <f>C21/C43*D43</f>
        <v>1291.3951100244499</v>
      </c>
      <c r="E21" s="27">
        <f>D21/$D$39*100</f>
        <v>0.24449877750611246</v>
      </c>
      <c r="F21" s="27">
        <f>C21/C43*F43</f>
        <v>1301.7047188264057</v>
      </c>
      <c r="G21" s="57">
        <v>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100405.96980440097</v>
      </c>
      <c r="E24" s="39">
        <f>E25+E26</f>
        <v>19.009779951100246</v>
      </c>
      <c r="F24" s="38">
        <f>F25+F26</f>
        <v>101207.54188875305</v>
      </c>
      <c r="G24" s="37">
        <f>G25+G26</f>
        <v>112272</v>
      </c>
    </row>
    <row r="25" spans="1:7">
      <c r="A25" s="33"/>
      <c r="B25" s="35" t="s">
        <v>26</v>
      </c>
      <c r="C25" s="36">
        <v>2.36</v>
      </c>
      <c r="D25" s="27">
        <f>C25/C43*D43</f>
        <v>76192.311491442539</v>
      </c>
      <c r="E25" s="27">
        <f>D25/$D$39*100</f>
        <v>14.425427872860636</v>
      </c>
      <c r="F25" s="27">
        <f>C25/C43*F43</f>
        <v>76800.578410757938</v>
      </c>
      <c r="G25" s="26">
        <v>74203</v>
      </c>
    </row>
    <row r="26" spans="1:7">
      <c r="A26" s="33"/>
      <c r="B26" s="35" t="s">
        <v>25</v>
      </c>
      <c r="C26" s="31">
        <v>0.75</v>
      </c>
      <c r="D26" s="27">
        <f>C26/C43*D43</f>
        <v>24213.658312958436</v>
      </c>
      <c r="E26" s="27">
        <f>D26/$D$39*100</f>
        <v>4.5843520782396094</v>
      </c>
      <c r="F26" s="27">
        <f>C26/C43*F43</f>
        <v>24406.963477995112</v>
      </c>
      <c r="G26" s="26">
        <v>38069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52947.199511002444</v>
      </c>
      <c r="E27" s="21">
        <f>E28+E29</f>
        <v>10.024449877750612</v>
      </c>
      <c r="F27" s="20">
        <f>F28+F29</f>
        <v>53369.893471882642</v>
      </c>
      <c r="G27" s="19">
        <f>G28+G29</f>
        <v>310828</v>
      </c>
    </row>
    <row r="28" spans="1:7">
      <c r="A28" s="33"/>
      <c r="B28" s="32" t="s">
        <v>22</v>
      </c>
      <c r="C28" s="31">
        <v>0.84</v>
      </c>
      <c r="D28" s="27">
        <f>C28/C43*D43</f>
        <v>27119.297310513448</v>
      </c>
      <c r="E28" s="27">
        <f>D28/$D$39*100</f>
        <v>5.1344743276283618</v>
      </c>
      <c r="F28" s="27">
        <f>C28/C43*F43</f>
        <v>27335.799095354523</v>
      </c>
      <c r="G28" s="26">
        <v>5355</v>
      </c>
    </row>
    <row r="29" spans="1:7">
      <c r="A29" s="33"/>
      <c r="B29" s="32" t="s">
        <v>21</v>
      </c>
      <c r="C29" s="31">
        <v>0.8</v>
      </c>
      <c r="D29" s="27">
        <f>C29/C43*D43</f>
        <v>25827.902200488999</v>
      </c>
      <c r="E29" s="27">
        <f>D29/$D$39*100</f>
        <v>4.8899755501222497</v>
      </c>
      <c r="F29" s="27">
        <f>C29/C43*F43</f>
        <v>26034.094376528119</v>
      </c>
      <c r="G29" s="26">
        <v>305473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39064.702078239607</v>
      </c>
      <c r="E30" s="25">
        <f>D30/$D$39*100</f>
        <v>7.3960880195599019</v>
      </c>
      <c r="F30" s="25">
        <f>C30/C43*F43</f>
        <v>39376.567744498774</v>
      </c>
      <c r="G30" s="19">
        <f>1.18*G11*12</f>
        <v>38096.063999999998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146573.34498777505</v>
      </c>
      <c r="E31" s="21">
        <f>SUM(E32:E37)</f>
        <v>27.75061124694377</v>
      </c>
      <c r="F31" s="20">
        <f>SUM(F32:F37)</f>
        <v>147743.48558679706</v>
      </c>
      <c r="G31" s="19">
        <f>G32+G33+G34+G35+G36+G37</f>
        <v>153352.79999999999</v>
      </c>
    </row>
    <row r="32" spans="1:7" ht="19.5">
      <c r="A32" s="18"/>
      <c r="B32" s="32" t="s">
        <v>16</v>
      </c>
      <c r="C32" s="31">
        <v>2.08</v>
      </c>
      <c r="D32" s="27">
        <f>C32/C43*D43</f>
        <v>67152.545721271395</v>
      </c>
      <c r="E32" s="27">
        <f t="shared" ref="E32:E40" si="0">D32/$D$39*100</f>
        <v>12.713936430317849</v>
      </c>
      <c r="F32" s="27">
        <f>C32/C43*F43</f>
        <v>67688.645378973102</v>
      </c>
      <c r="G32" s="34">
        <f>2.57*G11*12</f>
        <v>82971.935999999987</v>
      </c>
    </row>
    <row r="33" spans="1:7">
      <c r="A33" s="33"/>
      <c r="B33" s="32" t="s">
        <v>15</v>
      </c>
      <c r="C33" s="31">
        <v>0.78</v>
      </c>
      <c r="D33" s="27">
        <f>C33/C43*D43</f>
        <v>25182.204645476773</v>
      </c>
      <c r="E33" s="27">
        <f t="shared" si="0"/>
        <v>4.7677261613691932</v>
      </c>
      <c r="F33" s="27">
        <f>C33/C43*F43</f>
        <v>25383.242017114917</v>
      </c>
      <c r="G33" s="26">
        <f xml:space="preserve"> 0.57*G11*12</f>
        <v>18402.335999999999</v>
      </c>
    </row>
    <row r="34" spans="1:7">
      <c r="A34" s="30"/>
      <c r="B34" s="29" t="s">
        <v>14</v>
      </c>
      <c r="C34" s="28">
        <v>0.5</v>
      </c>
      <c r="D34" s="27">
        <f>C34/C43*D43</f>
        <v>16142.438875305625</v>
      </c>
      <c r="E34" s="27">
        <f t="shared" si="0"/>
        <v>3.0562347188264063</v>
      </c>
      <c r="F34" s="27">
        <f>C34/C43*F43</f>
        <v>16271.308985330073</v>
      </c>
      <c r="G34" s="26">
        <f xml:space="preserve"> 0.28*G11*12</f>
        <v>9039.7440000000024</v>
      </c>
    </row>
    <row r="35" spans="1:7">
      <c r="A35" s="30"/>
      <c r="B35" s="29" t="s">
        <v>13</v>
      </c>
      <c r="C35" s="28">
        <v>0.35</v>
      </c>
      <c r="D35" s="27">
        <f>C35/C43*D43</f>
        <v>11299.707212713934</v>
      </c>
      <c r="E35" s="27">
        <f t="shared" si="0"/>
        <v>2.1393643031784837</v>
      </c>
      <c r="F35" s="27">
        <f>C35/C43*F43</f>
        <v>11389.916289731051</v>
      </c>
      <c r="G35" s="26">
        <f xml:space="preserve"> 0.19*G11*12</f>
        <v>6134.112000000001</v>
      </c>
    </row>
    <row r="36" spans="1:7">
      <c r="A36" s="30"/>
      <c r="B36" s="29" t="s">
        <v>12</v>
      </c>
      <c r="C36" s="28">
        <v>0.39</v>
      </c>
      <c r="D36" s="27">
        <f>C36/C43*D43</f>
        <v>12591.102322738387</v>
      </c>
      <c r="E36" s="27">
        <f t="shared" si="0"/>
        <v>2.3838630806845966</v>
      </c>
      <c r="F36" s="27">
        <f>C36/C43*F43</f>
        <v>12691.621008557458</v>
      </c>
      <c r="G36" s="26">
        <f xml:space="preserve"> 0.28*G11*12</f>
        <v>9039.7440000000024</v>
      </c>
    </row>
    <row r="37" spans="1:7">
      <c r="A37" s="30"/>
      <c r="B37" s="29" t="s">
        <v>11</v>
      </c>
      <c r="C37" s="28">
        <v>0.44</v>
      </c>
      <c r="D37" s="27">
        <f>C37/C43*D43</f>
        <v>14205.34621026895</v>
      </c>
      <c r="E37" s="27">
        <f t="shared" si="0"/>
        <v>2.6894865525672373</v>
      </c>
      <c r="F37" s="27">
        <f>C37/C43*F43</f>
        <v>14318.751907090465</v>
      </c>
      <c r="G37" s="26">
        <f xml:space="preserve"> 0.86*G11*12</f>
        <v>27764.928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25827.902200488999</v>
      </c>
      <c r="E38" s="25">
        <f t="shared" si="0"/>
        <v>4.8899755501222497</v>
      </c>
      <c r="F38" s="25">
        <f>C38/C43*F43</f>
        <v>26034.094376528119</v>
      </c>
      <c r="G38" s="19">
        <f xml:space="preserve"> 0.81*G11*12</f>
        <v>26150.688000000002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528180.6</v>
      </c>
      <c r="E39" s="24">
        <f t="shared" si="0"/>
        <v>100</v>
      </c>
      <c r="F39" s="20">
        <f>F17+F24+F27+F30+F31+F38</f>
        <v>532397.23</v>
      </c>
      <c r="G39" s="19">
        <f>G17+G24+G27+G30+G31+G38</f>
        <v>791469.56800000009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528180.6</v>
      </c>
      <c r="E43" s="9">
        <f>E39+E41</f>
        <v>118</v>
      </c>
      <c r="F43" s="8">
        <v>532397.23</v>
      </c>
      <c r="G43" s="7">
        <f>G39+G40</f>
        <v>791469.56800000009</v>
      </c>
    </row>
    <row r="44" spans="1:7">
      <c r="D44" s="2" t="s">
        <v>6</v>
      </c>
      <c r="F44" s="6">
        <f>F43/D43</f>
        <v>1.0079833110114229</v>
      </c>
    </row>
    <row r="45" spans="1:7">
      <c r="C45" s="2" t="s">
        <v>5</v>
      </c>
      <c r="G45" s="2">
        <f>F43-G43</f>
        <v>-259072.33800000011</v>
      </c>
    </row>
    <row r="46" spans="1:7" ht="18.75">
      <c r="A46" s="5"/>
      <c r="B46" s="4" t="s">
        <v>4</v>
      </c>
      <c r="C46" s="3">
        <v>178615.14</v>
      </c>
      <c r="D46" s="3" t="s">
        <v>1</v>
      </c>
    </row>
    <row r="47" spans="1:7" ht="18.75">
      <c r="A47" s="5"/>
      <c r="B47" s="4" t="s">
        <v>3</v>
      </c>
      <c r="C47" s="3">
        <f>D43-F43</f>
        <v>-4216.6300000000047</v>
      </c>
      <c r="D47" s="3" t="s">
        <v>1</v>
      </c>
    </row>
    <row r="48" spans="1:7" ht="18.75">
      <c r="A48" s="5"/>
      <c r="B48" s="4" t="s">
        <v>2</v>
      </c>
      <c r="C48" s="3">
        <f>C46+C47</f>
        <v>174398.51</v>
      </c>
      <c r="D48" s="3" t="s">
        <v>1</v>
      </c>
    </row>
    <row r="49" spans="1:4" s="1" customFormat="1" ht="18.75">
      <c r="A49" s="5"/>
      <c r="B49" s="4"/>
      <c r="C49" s="3"/>
      <c r="D49" s="3"/>
    </row>
    <row r="54" spans="1:4" s="1" customFormat="1">
      <c r="B54" s="1" t="s">
        <v>0</v>
      </c>
      <c r="C54" s="2"/>
      <c r="D54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4"/>
  <sheetViews>
    <sheetView topLeftCell="A16" zoomScale="75" zoomScaleNormal="50" workbookViewId="0">
      <selection activeCell="L38" sqref="L38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79" t="s">
        <v>47</v>
      </c>
      <c r="B7" s="79"/>
      <c r="C7" s="79"/>
      <c r="D7" s="79"/>
      <c r="E7" s="79"/>
      <c r="F7" s="79"/>
      <c r="G7" s="79"/>
    </row>
    <row r="8" spans="1:7" ht="18.75">
      <c r="A8" s="79" t="s">
        <v>49</v>
      </c>
      <c r="B8" s="79"/>
      <c r="C8" s="79"/>
      <c r="D8" s="79"/>
      <c r="E8" s="79"/>
      <c r="F8" s="79"/>
      <c r="G8" s="79"/>
    </row>
    <row r="9" spans="1:7" ht="18.75">
      <c r="A9" s="79" t="s">
        <v>45</v>
      </c>
      <c r="B9" s="79"/>
      <c r="C9" s="79"/>
      <c r="D9" s="79"/>
      <c r="E9" s="79"/>
      <c r="F9" s="79"/>
      <c r="G9" s="79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3055.6</v>
      </c>
    </row>
    <row r="12" spans="1:7" ht="16.5" thickBot="1">
      <c r="A12" s="83" t="s">
        <v>44</v>
      </c>
      <c r="B12" s="85" t="s">
        <v>43</v>
      </c>
      <c r="C12" s="80" t="s">
        <v>42</v>
      </c>
      <c r="D12" s="81"/>
      <c r="E12" s="81"/>
      <c r="F12" s="82"/>
      <c r="G12" s="87" t="s">
        <v>41</v>
      </c>
    </row>
    <row r="13" spans="1:7">
      <c r="A13" s="84"/>
      <c r="B13" s="86"/>
      <c r="C13" s="72" t="s">
        <v>40</v>
      </c>
      <c r="D13" s="71" t="s">
        <v>39</v>
      </c>
      <c r="E13" s="70"/>
      <c r="F13" s="69" t="s">
        <v>38</v>
      </c>
      <c r="G13" s="88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185535.74992665037</v>
      </c>
      <c r="E17" s="39">
        <f>SUM(E18:E21)</f>
        <v>30.929095354523231</v>
      </c>
      <c r="F17" s="38">
        <f>SUM(F18:F21)</f>
        <v>178984.71081907093</v>
      </c>
      <c r="G17" s="37">
        <f>G18+G19+G20+G21</f>
        <v>171235.82400000002</v>
      </c>
    </row>
    <row r="18" spans="1:7">
      <c r="A18" s="33"/>
      <c r="B18" s="35" t="s">
        <v>33</v>
      </c>
      <c r="C18" s="36">
        <v>2.58</v>
      </c>
      <c r="D18" s="27">
        <f>C18/C43*D43</f>
        <v>94601.232176039121</v>
      </c>
      <c r="E18" s="27">
        <f>D18/$D$39*100</f>
        <v>15.770171149144257</v>
      </c>
      <c r="F18" s="27">
        <f>C18/C43*F43</f>
        <v>91260.979034229837</v>
      </c>
      <c r="G18" s="61">
        <f>2.24*G11*12</f>
        <v>82134.528000000006</v>
      </c>
    </row>
    <row r="19" spans="1:7">
      <c r="A19" s="33"/>
      <c r="B19" s="35" t="s">
        <v>32</v>
      </c>
      <c r="C19" s="31">
        <v>1.75</v>
      </c>
      <c r="D19" s="27">
        <f>C19/C43*D43</f>
        <v>64167.502444987775</v>
      </c>
      <c r="E19" s="27">
        <f>D19/$D$39*100</f>
        <v>10.696821515892422</v>
      </c>
      <c r="F19" s="27">
        <f>C19/C43*F43</f>
        <v>61901.826864303184</v>
      </c>
      <c r="G19" s="61">
        <f>1.66*G11*12</f>
        <v>60867.551999999996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25300.329535452322</v>
      </c>
      <c r="E20" s="27">
        <f>D20/$D$39*100</f>
        <v>4.2176039119804409</v>
      </c>
      <c r="F20" s="27">
        <f>C20/C43*F43</f>
        <v>24407.006020782395</v>
      </c>
      <c r="G20" s="61">
        <f>0.77*G11*12</f>
        <v>28233.743999999999</v>
      </c>
    </row>
    <row r="21" spans="1:7">
      <c r="A21" s="60"/>
      <c r="B21" s="59" t="s">
        <v>30</v>
      </c>
      <c r="C21" s="58">
        <v>0.04</v>
      </c>
      <c r="D21" s="27">
        <f>C21/C43*D43</f>
        <v>1466.685770171149</v>
      </c>
      <c r="E21" s="27">
        <f>D21/$D$39*100</f>
        <v>0.24449877750611251</v>
      </c>
      <c r="F21" s="27">
        <f>C21/C43*F43</f>
        <v>1414.8988997555014</v>
      </c>
      <c r="G21" s="57">
        <v>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114034.81863080684</v>
      </c>
      <c r="E24" s="39">
        <f>E25+E26</f>
        <v>19.009779951100249</v>
      </c>
      <c r="F24" s="38">
        <f>F25+F26</f>
        <v>110008.38945599023</v>
      </c>
      <c r="G24" s="37">
        <f>G25+G26</f>
        <v>89912.2</v>
      </c>
    </row>
    <row r="25" spans="1:7">
      <c r="A25" s="33"/>
      <c r="B25" s="35" t="s">
        <v>26</v>
      </c>
      <c r="C25" s="36">
        <v>2.36</v>
      </c>
      <c r="D25" s="27">
        <f>C25/C43*D43</f>
        <v>86534.460440097799</v>
      </c>
      <c r="E25" s="27">
        <f>D25/$D$39*100</f>
        <v>14.425427872860638</v>
      </c>
      <c r="F25" s="27">
        <f>C25/C43*F43</f>
        <v>83479.035085574578</v>
      </c>
      <c r="G25" s="26">
        <v>74741</v>
      </c>
    </row>
    <row r="26" spans="1:7">
      <c r="A26" s="33"/>
      <c r="B26" s="35" t="s">
        <v>25</v>
      </c>
      <c r="C26" s="31">
        <v>0.75</v>
      </c>
      <c r="D26" s="27">
        <f>C26/C43*D43</f>
        <v>27500.358190709048</v>
      </c>
      <c r="E26" s="27">
        <f>D26/$D$39*100</f>
        <v>4.5843520782396103</v>
      </c>
      <c r="F26" s="27">
        <f>C26/C43*F43</f>
        <v>26529.354370415651</v>
      </c>
      <c r="G26" s="26">
        <v>15171.2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60134.116577017114</v>
      </c>
      <c r="E27" s="21">
        <f>E28+E29</f>
        <v>10.024449877750612</v>
      </c>
      <c r="F27" s="20">
        <f>F28+F29</f>
        <v>58010.854889975555</v>
      </c>
      <c r="G27" s="19">
        <f>G28+G29</f>
        <v>7540.8</v>
      </c>
    </row>
    <row r="28" spans="1:7">
      <c r="A28" s="33"/>
      <c r="B28" s="32" t="s">
        <v>22</v>
      </c>
      <c r="C28" s="31">
        <v>0.84</v>
      </c>
      <c r="D28" s="27">
        <f>C28/C43*D43</f>
        <v>30800.401173594131</v>
      </c>
      <c r="E28" s="27">
        <f>D28/$D$39*100</f>
        <v>5.1344743276283626</v>
      </c>
      <c r="F28" s="27">
        <f>C28/C43*F43</f>
        <v>29712.876894865527</v>
      </c>
      <c r="G28" s="26">
        <v>3748</v>
      </c>
    </row>
    <row r="29" spans="1:7">
      <c r="A29" s="33"/>
      <c r="B29" s="32" t="s">
        <v>21</v>
      </c>
      <c r="C29" s="31">
        <v>0.8</v>
      </c>
      <c r="D29" s="27">
        <f>C29/C43*D43</f>
        <v>29333.715403422982</v>
      </c>
      <c r="E29" s="27">
        <f>D29/$D$39*100</f>
        <v>4.8899755501222506</v>
      </c>
      <c r="F29" s="27">
        <f>C29/C43*F43</f>
        <v>28297.977995110028</v>
      </c>
      <c r="G29" s="26">
        <v>3792.8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44367.244547677255</v>
      </c>
      <c r="E30" s="25">
        <f>D30/$D$39*100</f>
        <v>7.3960880195599028</v>
      </c>
      <c r="F30" s="25">
        <f>C30/C43*F43</f>
        <v>42800.691717603913</v>
      </c>
      <c r="G30" s="19">
        <f>1.18*G11*12</f>
        <v>43267.295999999995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166468.83491442542</v>
      </c>
      <c r="E31" s="21">
        <f>SUM(E32:E37)</f>
        <v>27.750611246943777</v>
      </c>
      <c r="F31" s="20">
        <f>SUM(F32:F37)</f>
        <v>160591.02512224938</v>
      </c>
      <c r="G31" s="19">
        <f>G32+G33+G34+G35+G36+G37</f>
        <v>174169.19999999995</v>
      </c>
    </row>
    <row r="32" spans="1:7" ht="19.5">
      <c r="A32" s="18"/>
      <c r="B32" s="32" t="s">
        <v>16</v>
      </c>
      <c r="C32" s="31">
        <v>2.08</v>
      </c>
      <c r="D32" s="27">
        <f>C32/C43*D43</f>
        <v>76267.66004889975</v>
      </c>
      <c r="E32" s="27">
        <f t="shared" ref="E32:E40" si="0">D32/$D$39*100</f>
        <v>12.713936430317851</v>
      </c>
      <c r="F32" s="27">
        <f>C32/C43*F43</f>
        <v>73574.742787286072</v>
      </c>
      <c r="G32" s="34">
        <f>2.57*G11*12</f>
        <v>94234.703999999983</v>
      </c>
    </row>
    <row r="33" spans="1:7">
      <c r="A33" s="33"/>
      <c r="B33" s="32" t="s">
        <v>15</v>
      </c>
      <c r="C33" s="31">
        <v>0.78</v>
      </c>
      <c r="D33" s="27">
        <f>C33/C43*D43</f>
        <v>28600.372518337412</v>
      </c>
      <c r="E33" s="27">
        <f t="shared" si="0"/>
        <v>4.767726161369195</v>
      </c>
      <c r="F33" s="27">
        <f>C33/C43*F43</f>
        <v>27590.528545232279</v>
      </c>
      <c r="G33" s="26">
        <f xml:space="preserve"> 0.57*G11*12</f>
        <v>20900.303999999996</v>
      </c>
    </row>
    <row r="34" spans="1:7">
      <c r="A34" s="30"/>
      <c r="B34" s="29" t="s">
        <v>14</v>
      </c>
      <c r="C34" s="28">
        <v>0.5</v>
      </c>
      <c r="D34" s="27">
        <f>C34/C43*D43</f>
        <v>18333.572127139363</v>
      </c>
      <c r="E34" s="27">
        <f t="shared" si="0"/>
        <v>3.0562347188264063</v>
      </c>
      <c r="F34" s="27">
        <f>C34/C43*F43</f>
        <v>17686.236246943768</v>
      </c>
      <c r="G34" s="26">
        <f xml:space="preserve"> 0.28*G11*12</f>
        <v>10266.816000000001</v>
      </c>
    </row>
    <row r="35" spans="1:7">
      <c r="A35" s="30"/>
      <c r="B35" s="29" t="s">
        <v>13</v>
      </c>
      <c r="C35" s="28">
        <v>0.35</v>
      </c>
      <c r="D35" s="27">
        <f>C35/C43*D43</f>
        <v>12833.500488997553</v>
      </c>
      <c r="E35" s="27">
        <f t="shared" si="0"/>
        <v>2.1393643031784841</v>
      </c>
      <c r="F35" s="27">
        <f>C35/C43*F43</f>
        <v>12380.365372860635</v>
      </c>
      <c r="G35" s="26">
        <f xml:space="preserve"> 0.19*G11*12</f>
        <v>6966.768</v>
      </c>
    </row>
    <row r="36" spans="1:7">
      <c r="A36" s="30"/>
      <c r="B36" s="29" t="s">
        <v>12</v>
      </c>
      <c r="C36" s="28">
        <v>0.39</v>
      </c>
      <c r="D36" s="27">
        <f>C36/C43*D43</f>
        <v>14300.186259168706</v>
      </c>
      <c r="E36" s="27">
        <f t="shared" si="0"/>
        <v>2.3838630806845975</v>
      </c>
      <c r="F36" s="27">
        <f>C36/C43*F43</f>
        <v>13795.264272616139</v>
      </c>
      <c r="G36" s="26">
        <f xml:space="preserve"> 0.28*G11*12</f>
        <v>10266.816000000001</v>
      </c>
    </row>
    <row r="37" spans="1:7">
      <c r="A37" s="30"/>
      <c r="B37" s="29" t="s">
        <v>11</v>
      </c>
      <c r="C37" s="28">
        <v>0.44</v>
      </c>
      <c r="D37" s="27">
        <f>C37/C43*D43</f>
        <v>16133.543471882642</v>
      </c>
      <c r="E37" s="27">
        <f t="shared" si="0"/>
        <v>2.6894865525672382</v>
      </c>
      <c r="F37" s="27">
        <f>C37/C43*F43</f>
        <v>15563.887897310515</v>
      </c>
      <c r="G37" s="26">
        <f xml:space="preserve"> 0.86*G11*12</f>
        <v>31533.791999999998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29333.715403422982</v>
      </c>
      <c r="E38" s="25">
        <f t="shared" si="0"/>
        <v>4.8899755501222506</v>
      </c>
      <c r="F38" s="25">
        <f>C38/C43*F43</f>
        <v>28297.977995110028</v>
      </c>
      <c r="G38" s="19">
        <f xml:space="preserve"> 0.81*G11*12</f>
        <v>29700.432000000001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599874.47999999986</v>
      </c>
      <c r="E39" s="24">
        <f t="shared" si="0"/>
        <v>100</v>
      </c>
      <c r="F39" s="20">
        <f>F17+F24+F27+F30+F31+F38</f>
        <v>578693.65</v>
      </c>
      <c r="G39" s="19">
        <f>G17+G24+G27+G30+G31+G38</f>
        <v>515825.75199999998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599874.48</v>
      </c>
      <c r="E43" s="9">
        <f>E39+E41</f>
        <v>118</v>
      </c>
      <c r="F43" s="8">
        <v>578693.65</v>
      </c>
      <c r="G43" s="7">
        <f>G39+G40</f>
        <v>515825.75199999998</v>
      </c>
    </row>
    <row r="44" spans="1:7">
      <c r="D44" s="2" t="s">
        <v>6</v>
      </c>
      <c r="F44" s="6">
        <f>F43/D43</f>
        <v>0.96469123007199775</v>
      </c>
    </row>
    <row r="45" spans="1:7">
      <c r="D45" s="2" t="s">
        <v>48</v>
      </c>
      <c r="G45" s="2">
        <f>F43-G43</f>
        <v>62867.898000000045</v>
      </c>
    </row>
    <row r="46" spans="1:7" ht="18.75">
      <c r="A46" s="5"/>
      <c r="B46" s="4" t="s">
        <v>4</v>
      </c>
      <c r="C46" s="3">
        <f>114200.81+128074.59</f>
        <v>242275.4</v>
      </c>
      <c r="D46" s="3" t="s">
        <v>1</v>
      </c>
    </row>
    <row r="47" spans="1:7" ht="18.75">
      <c r="A47" s="5"/>
      <c r="B47" s="4" t="s">
        <v>3</v>
      </c>
      <c r="C47" s="3">
        <f>D43-F43</f>
        <v>21180.829999999958</v>
      </c>
      <c r="D47" s="3" t="s">
        <v>1</v>
      </c>
    </row>
    <row r="48" spans="1:7" ht="18.75">
      <c r="A48" s="5"/>
      <c r="B48" s="4" t="s">
        <v>2</v>
      </c>
      <c r="C48" s="3">
        <f>C46+C47</f>
        <v>263456.23</v>
      </c>
      <c r="D48" s="3" t="s">
        <v>1</v>
      </c>
    </row>
    <row r="49" spans="1:4" s="1" customFormat="1" ht="18.75">
      <c r="A49" s="5"/>
      <c r="C49" s="3"/>
      <c r="D49" s="3"/>
    </row>
    <row r="54" spans="1:4" s="1" customFormat="1">
      <c r="B54" s="1" t="s">
        <v>0</v>
      </c>
      <c r="C54" s="2"/>
      <c r="D54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3"/>
  <sheetViews>
    <sheetView topLeftCell="A16" zoomScale="75" zoomScaleNormal="50" workbookViewId="0">
      <selection activeCell="L38" sqref="L38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79" t="s">
        <v>47</v>
      </c>
      <c r="B7" s="79"/>
      <c r="C7" s="79"/>
      <c r="D7" s="79"/>
      <c r="E7" s="79"/>
      <c r="F7" s="79"/>
      <c r="G7" s="79"/>
    </row>
    <row r="8" spans="1:7" ht="18.75">
      <c r="A8" s="79" t="s">
        <v>51</v>
      </c>
      <c r="B8" s="79"/>
      <c r="C8" s="79"/>
      <c r="D8" s="79"/>
      <c r="E8" s="79"/>
      <c r="F8" s="79"/>
      <c r="G8" s="79"/>
    </row>
    <row r="9" spans="1:7" ht="18.75">
      <c r="A9" s="79" t="s">
        <v>45</v>
      </c>
      <c r="B9" s="79"/>
      <c r="C9" s="79"/>
      <c r="D9" s="79"/>
      <c r="E9" s="79"/>
      <c r="F9" s="79"/>
      <c r="G9" s="79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2705.7</v>
      </c>
    </row>
    <row r="12" spans="1:7" ht="16.5" thickBot="1">
      <c r="A12" s="83" t="s">
        <v>44</v>
      </c>
      <c r="B12" s="85" t="s">
        <v>43</v>
      </c>
      <c r="C12" s="80" t="s">
        <v>42</v>
      </c>
      <c r="D12" s="81"/>
      <c r="E12" s="81"/>
      <c r="F12" s="82"/>
      <c r="G12" s="87" t="s">
        <v>41</v>
      </c>
    </row>
    <row r="13" spans="1:7">
      <c r="A13" s="84"/>
      <c r="B13" s="86"/>
      <c r="C13" s="72" t="s">
        <v>40</v>
      </c>
      <c r="D13" s="71" t="s">
        <v>39</v>
      </c>
      <c r="E13" s="70"/>
      <c r="F13" s="69" t="s">
        <v>38</v>
      </c>
      <c r="G13" s="88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164289.91100244498</v>
      </c>
      <c r="E17" s="39">
        <f>SUM(E18:E21)</f>
        <v>30.929095354523231</v>
      </c>
      <c r="F17" s="38">
        <f>SUM(F18:F21)</f>
        <v>144995.36086797068</v>
      </c>
      <c r="G17" s="37">
        <f>G18+G19+G20+G21</f>
        <v>154248.22799999997</v>
      </c>
    </row>
    <row r="18" spans="1:7">
      <c r="A18" s="33"/>
      <c r="B18" s="35" t="s">
        <v>33</v>
      </c>
      <c r="C18" s="36">
        <v>2.58</v>
      </c>
      <c r="D18" s="27">
        <f>C18/C43*D43</f>
        <v>83768.373594132034</v>
      </c>
      <c r="E18" s="27">
        <f>D18/$D$39*100</f>
        <v>15.770171149144256</v>
      </c>
      <c r="F18" s="27">
        <f>C18/C43*F43</f>
        <v>73930.440916870415</v>
      </c>
      <c r="G18" s="61">
        <f>2.24*G11*12</f>
        <v>72729.216</v>
      </c>
    </row>
    <row r="19" spans="1:7">
      <c r="A19" s="33"/>
      <c r="B19" s="35" t="s">
        <v>32</v>
      </c>
      <c r="C19" s="31">
        <v>1.75</v>
      </c>
      <c r="D19" s="27">
        <f>C19/C43*D43</f>
        <v>56819.633251833744</v>
      </c>
      <c r="E19" s="27">
        <f>D19/$D$39*100</f>
        <v>10.696821515892422</v>
      </c>
      <c r="F19" s="27">
        <f>C19/C43*F43</f>
        <v>50146.616900977999</v>
      </c>
      <c r="G19" s="61">
        <f>1.66*G11*12</f>
        <v>53897.543999999994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22403.169682151591</v>
      </c>
      <c r="E20" s="27">
        <f>D20/$D$39*100</f>
        <v>4.21760391198044</v>
      </c>
      <c r="F20" s="27">
        <f>C20/C43*F43</f>
        <v>19772.09466381418</v>
      </c>
      <c r="G20" s="61">
        <f>0.77*G11*12</f>
        <v>25000.668000000001</v>
      </c>
    </row>
    <row r="21" spans="1:7">
      <c r="A21" s="60"/>
      <c r="B21" s="59" t="s">
        <v>30</v>
      </c>
      <c r="C21" s="58">
        <v>0.04</v>
      </c>
      <c r="D21" s="27">
        <f>C21/C43*D43</f>
        <v>1298.7344743276285</v>
      </c>
      <c r="E21" s="27">
        <f>D21/$D$39*100</f>
        <v>0.24449877750611246</v>
      </c>
      <c r="F21" s="27">
        <f>C21/C43*F43</f>
        <v>1146.2083863080684</v>
      </c>
      <c r="G21" s="57">
        <v>2620.8000000000002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100976.60537897311</v>
      </c>
      <c r="E24" s="39">
        <f>E25+E26</f>
        <v>19.009779951100246</v>
      </c>
      <c r="F24" s="38">
        <f>F25+F26</f>
        <v>89117.702035452327</v>
      </c>
      <c r="G24" s="37">
        <f>G25+G26</f>
        <v>81772</v>
      </c>
    </row>
    <row r="25" spans="1:7">
      <c r="A25" s="33"/>
      <c r="B25" s="35" t="s">
        <v>26</v>
      </c>
      <c r="C25" s="36">
        <v>2.36</v>
      </c>
      <c r="D25" s="27">
        <f>C25/C43*D43</f>
        <v>76625.333985330071</v>
      </c>
      <c r="E25" s="27">
        <f>D25/$D$39*100</f>
        <v>14.425427872860636</v>
      </c>
      <c r="F25" s="27">
        <f>C25/C43*F43</f>
        <v>67626.294792176035</v>
      </c>
      <c r="G25" s="26">
        <v>52352</v>
      </c>
    </row>
    <row r="26" spans="1:7">
      <c r="A26" s="33"/>
      <c r="B26" s="35" t="s">
        <v>25</v>
      </c>
      <c r="C26" s="31">
        <v>0.75</v>
      </c>
      <c r="D26" s="27">
        <f>C26/C43*D43</f>
        <v>24351.271393643034</v>
      </c>
      <c r="E26" s="27">
        <f>D26/$D$39*100</f>
        <v>4.5843520782396094</v>
      </c>
      <c r="F26" s="27">
        <f>C26/C43*F43</f>
        <v>21491.407243276284</v>
      </c>
      <c r="G26" s="26">
        <v>29420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53248.11344743277</v>
      </c>
      <c r="E27" s="21">
        <f>E28+E29</f>
        <v>10.024449877750612</v>
      </c>
      <c r="F27" s="20">
        <f>F28+F29</f>
        <v>46994.543838630809</v>
      </c>
      <c r="G27" s="19">
        <f>G28+G29</f>
        <v>7782.2</v>
      </c>
    </row>
    <row r="28" spans="1:7">
      <c r="A28" s="33"/>
      <c r="B28" s="32" t="s">
        <v>22</v>
      </c>
      <c r="C28" s="31">
        <v>0.84</v>
      </c>
      <c r="D28" s="27">
        <f>C28/C43*D43</f>
        <v>27273.423960880198</v>
      </c>
      <c r="E28" s="27">
        <f>D28/$D$39*100</f>
        <v>5.1344743276283618</v>
      </c>
      <c r="F28" s="27">
        <f>C28/C43*F43</f>
        <v>24070.376112469436</v>
      </c>
      <c r="G28" s="26">
        <v>377</v>
      </c>
    </row>
    <row r="29" spans="1:7">
      <c r="A29" s="33"/>
      <c r="B29" s="32" t="s">
        <v>21</v>
      </c>
      <c r="C29" s="31">
        <v>0.8</v>
      </c>
      <c r="D29" s="27">
        <f>C29/C43*D43</f>
        <v>25974.689486552572</v>
      </c>
      <c r="E29" s="27">
        <f>D29/$D$39*100</f>
        <v>4.8899755501222497</v>
      </c>
      <c r="F29" s="27">
        <f>C29/C43*F43</f>
        <v>22924.16772616137</v>
      </c>
      <c r="G29" s="26">
        <v>7405.2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39286.717848410757</v>
      </c>
      <c r="E30" s="25">
        <f>D30/$D$39*100</f>
        <v>7.3960880195599019</v>
      </c>
      <c r="F30" s="25">
        <f>C30/C43*F43</f>
        <v>34672.803685819068</v>
      </c>
      <c r="G30" s="19">
        <f>1.18*G11*12</f>
        <v>38312.712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147406.36283618584</v>
      </c>
      <c r="E31" s="21">
        <f>SUM(E32:E37)</f>
        <v>27.75061124694377</v>
      </c>
      <c r="F31" s="20">
        <f>SUM(F32:F37)</f>
        <v>130094.65184596578</v>
      </c>
      <c r="G31" s="19">
        <f>G32+G33+G34+G35+G36+G37</f>
        <v>154224.9</v>
      </c>
    </row>
    <row r="32" spans="1:7" ht="19.5">
      <c r="A32" s="18"/>
      <c r="B32" s="32" t="s">
        <v>16</v>
      </c>
      <c r="C32" s="31">
        <v>2.08</v>
      </c>
      <c r="D32" s="27">
        <f>C32/C43*D43</f>
        <v>67534.19266503668</v>
      </c>
      <c r="E32" s="27">
        <f t="shared" ref="E32:E40" si="0">D32/$D$39*100</f>
        <v>12.713936430317849</v>
      </c>
      <c r="F32" s="27">
        <f>C32/C43*F43</f>
        <v>59602.836088019561</v>
      </c>
      <c r="G32" s="13">
        <f>2.57*G11*12</f>
        <v>83443.788</v>
      </c>
    </row>
    <row r="33" spans="1:7">
      <c r="A33" s="33"/>
      <c r="B33" s="32" t="s">
        <v>15</v>
      </c>
      <c r="C33" s="31">
        <v>0.78</v>
      </c>
      <c r="D33" s="27">
        <f>C33/C43*D43</f>
        <v>25325.322249388755</v>
      </c>
      <c r="E33" s="27">
        <f t="shared" si="0"/>
        <v>4.7677261613691932</v>
      </c>
      <c r="F33" s="27">
        <f>C33/C43*F43</f>
        <v>22351.063533007335</v>
      </c>
      <c r="G33" s="26">
        <f xml:space="preserve"> 0.57*G11*12</f>
        <v>18506.987999999998</v>
      </c>
    </row>
    <row r="34" spans="1:7">
      <c r="A34" s="30"/>
      <c r="B34" s="29" t="s">
        <v>14</v>
      </c>
      <c r="C34" s="28">
        <v>0.5</v>
      </c>
      <c r="D34" s="27">
        <f>C34/C43*D43</f>
        <v>16234.180929095357</v>
      </c>
      <c r="E34" s="27">
        <f t="shared" si="0"/>
        <v>3.0562347188264063</v>
      </c>
      <c r="F34" s="27">
        <f>C34/C43*F43</f>
        <v>14327.604828850855</v>
      </c>
      <c r="G34" s="26">
        <f xml:space="preserve"> 0.28*G11*12</f>
        <v>9091.152</v>
      </c>
    </row>
    <row r="35" spans="1:7">
      <c r="A35" s="30"/>
      <c r="B35" s="29" t="s">
        <v>13</v>
      </c>
      <c r="C35" s="28">
        <v>0.35</v>
      </c>
      <c r="D35" s="27">
        <f>C35/C43*D43</f>
        <v>11363.926650366748</v>
      </c>
      <c r="E35" s="27">
        <f t="shared" si="0"/>
        <v>2.1393643031784837</v>
      </c>
      <c r="F35" s="27">
        <f>C35/C43*F43</f>
        <v>10029.323380195598</v>
      </c>
      <c r="G35" s="26">
        <f xml:space="preserve"> 0.19*G11*12</f>
        <v>6168.9959999999992</v>
      </c>
    </row>
    <row r="36" spans="1:7">
      <c r="A36" s="30"/>
      <c r="B36" s="29" t="s">
        <v>12</v>
      </c>
      <c r="C36" s="28">
        <v>0.39</v>
      </c>
      <c r="D36" s="27">
        <f>C36/C43*D43</f>
        <v>12662.661124694378</v>
      </c>
      <c r="E36" s="27">
        <f t="shared" si="0"/>
        <v>2.3838630806845966</v>
      </c>
      <c r="F36" s="27">
        <f>C36/C43*F43</f>
        <v>11175.531766503667</v>
      </c>
      <c r="G36" s="26">
        <f xml:space="preserve"> 0.28*G11*12</f>
        <v>9091.152</v>
      </c>
    </row>
    <row r="37" spans="1:7">
      <c r="A37" s="30"/>
      <c r="B37" s="29" t="s">
        <v>11</v>
      </c>
      <c r="C37" s="28">
        <v>0.44</v>
      </c>
      <c r="D37" s="27">
        <f>C37/C43*D43</f>
        <v>14286.079217603914</v>
      </c>
      <c r="E37" s="27">
        <f t="shared" si="0"/>
        <v>2.6894865525672373</v>
      </c>
      <c r="F37" s="27">
        <f>C37/C43*F43</f>
        <v>12608.292249388754</v>
      </c>
      <c r="G37" s="26">
        <f xml:space="preserve"> 0.86*G11*12</f>
        <v>27922.823999999993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25974.689486552572</v>
      </c>
      <c r="E38" s="25">
        <f t="shared" si="0"/>
        <v>4.8899755501222497</v>
      </c>
      <c r="F38" s="25">
        <f>C38/C43*F43</f>
        <v>22924.16772616137</v>
      </c>
      <c r="G38" s="19">
        <f xml:space="preserve"> 0.81*G11*12</f>
        <v>26299.404000000002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531182.4</v>
      </c>
      <c r="E39" s="24">
        <f t="shared" si="0"/>
        <v>100</v>
      </c>
      <c r="F39" s="20">
        <f>F17+F24+F27+F30+F31+F38</f>
        <v>468799.23000000004</v>
      </c>
      <c r="G39" s="19">
        <f>G17+G24+G27+G30+G31+G38</f>
        <v>462639.44400000002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531182.4</v>
      </c>
      <c r="E43" s="9">
        <f>E39+E41</f>
        <v>118</v>
      </c>
      <c r="F43" s="8">
        <v>468799.23</v>
      </c>
      <c r="G43" s="7">
        <f>G39+G40</f>
        <v>462639.44400000002</v>
      </c>
    </row>
    <row r="44" spans="1:7">
      <c r="D44" s="2" t="s">
        <v>6</v>
      </c>
      <c r="F44" s="6">
        <f>F43/D43</f>
        <v>0.88255791231034753</v>
      </c>
    </row>
    <row r="45" spans="1:7">
      <c r="C45" s="2" t="s">
        <v>50</v>
      </c>
      <c r="G45" s="2">
        <f>F43-G43</f>
        <v>6159.7859999999637</v>
      </c>
    </row>
    <row r="46" spans="1:7" ht="18.75">
      <c r="A46" s="5"/>
      <c r="B46" s="4" t="s">
        <v>4</v>
      </c>
      <c r="C46" s="3">
        <v>130507.92</v>
      </c>
      <c r="D46" s="3" t="s">
        <v>1</v>
      </c>
    </row>
    <row r="47" spans="1:7" ht="18.75">
      <c r="A47" s="5"/>
      <c r="B47" s="4" t="s">
        <v>3</v>
      </c>
      <c r="C47" s="3">
        <f>D43-F43</f>
        <v>62383.170000000042</v>
      </c>
      <c r="D47" s="3" t="s">
        <v>1</v>
      </c>
    </row>
    <row r="48" spans="1:7" ht="18.75">
      <c r="A48" s="5"/>
      <c r="B48" s="4" t="s">
        <v>2</v>
      </c>
      <c r="C48" s="3">
        <f>C46+C47</f>
        <v>192891.09000000003</v>
      </c>
      <c r="D48" s="3" t="s">
        <v>1</v>
      </c>
    </row>
    <row r="49" spans="1:4" s="1" customFormat="1" ht="18.75">
      <c r="A49" s="5"/>
      <c r="C49" s="3"/>
      <c r="D49" s="3"/>
    </row>
    <row r="53" spans="1:4" s="1" customFormat="1">
      <c r="B53" s="1" t="s">
        <v>0</v>
      </c>
      <c r="C53" s="2"/>
      <c r="D53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4"/>
  <sheetViews>
    <sheetView topLeftCell="A18" zoomScale="75" zoomScaleNormal="50" workbookViewId="0">
      <selection activeCell="L38" sqref="L38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79" t="s">
        <v>47</v>
      </c>
      <c r="B7" s="79"/>
      <c r="C7" s="79"/>
      <c r="D7" s="79"/>
      <c r="E7" s="79"/>
      <c r="F7" s="79"/>
      <c r="G7" s="79"/>
    </row>
    <row r="8" spans="1:7" ht="18.75">
      <c r="A8" s="79" t="s">
        <v>53</v>
      </c>
      <c r="B8" s="79"/>
      <c r="C8" s="79"/>
      <c r="D8" s="79"/>
      <c r="E8" s="79"/>
      <c r="F8" s="79"/>
      <c r="G8" s="79"/>
    </row>
    <row r="9" spans="1:7" ht="18.75">
      <c r="A9" s="79" t="s">
        <v>45</v>
      </c>
      <c r="B9" s="79"/>
      <c r="C9" s="79"/>
      <c r="D9" s="79"/>
      <c r="E9" s="79"/>
      <c r="F9" s="79"/>
      <c r="G9" s="79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2533.6999999999998</v>
      </c>
    </row>
    <row r="12" spans="1:7" ht="16.5" thickBot="1">
      <c r="A12" s="83" t="s">
        <v>44</v>
      </c>
      <c r="B12" s="85" t="s">
        <v>43</v>
      </c>
      <c r="C12" s="80" t="s">
        <v>42</v>
      </c>
      <c r="D12" s="81"/>
      <c r="E12" s="81"/>
      <c r="F12" s="82"/>
      <c r="G12" s="87" t="s">
        <v>41</v>
      </c>
    </row>
    <row r="13" spans="1:7">
      <c r="A13" s="84"/>
      <c r="B13" s="86"/>
      <c r="C13" s="72" t="s">
        <v>40</v>
      </c>
      <c r="D13" s="71" t="s">
        <v>39</v>
      </c>
      <c r="E13" s="70"/>
      <c r="F13" s="69" t="s">
        <v>38</v>
      </c>
      <c r="G13" s="88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153846.25657701711</v>
      </c>
      <c r="E17" s="39">
        <f>SUM(E18:E21)</f>
        <v>30.929095354523223</v>
      </c>
      <c r="F17" s="38">
        <f>SUM(F18:F21)</f>
        <v>141514.93451100242</v>
      </c>
      <c r="G17" s="37">
        <f>G18+G19+G20+G21</f>
        <v>145571.14799999999</v>
      </c>
    </row>
    <row r="18" spans="1:7">
      <c r="A18" s="33"/>
      <c r="B18" s="35" t="s">
        <v>33</v>
      </c>
      <c r="C18" s="36">
        <v>2.58</v>
      </c>
      <c r="D18" s="27">
        <f>C18/C43*D43</f>
        <v>78443.348215158927</v>
      </c>
      <c r="E18" s="27">
        <f>D18/$D$39*100</f>
        <v>15.770171149144252</v>
      </c>
      <c r="F18" s="27">
        <f>C18/C43*F43</f>
        <v>72155.836173594129</v>
      </c>
      <c r="G18" s="61">
        <f>2.24*G11*12</f>
        <v>68105.856</v>
      </c>
    </row>
    <row r="19" spans="1:7">
      <c r="A19" s="33"/>
      <c r="B19" s="35" t="s">
        <v>32</v>
      </c>
      <c r="C19" s="31">
        <v>1.75</v>
      </c>
      <c r="D19" s="27">
        <f>C19/C43*D43</f>
        <v>53207.697432762841</v>
      </c>
      <c r="E19" s="27">
        <f>D19/$D$39*100</f>
        <v>10.69682151589242</v>
      </c>
      <c r="F19" s="27">
        <f>C19/C43*F43</f>
        <v>48942.912133251833</v>
      </c>
      <c r="G19" s="61">
        <f>1.66*G11*12</f>
        <v>50471.303999999989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20979.034987775063</v>
      </c>
      <c r="E20" s="27">
        <f>D20/$D$39*100</f>
        <v>4.21760391198044</v>
      </c>
      <c r="F20" s="27">
        <f>C20/C43*F43</f>
        <v>19297.49106968215</v>
      </c>
      <c r="G20" s="61">
        <f>0.77*G11*12</f>
        <v>23411.387999999999</v>
      </c>
    </row>
    <row r="21" spans="1:7">
      <c r="A21" s="60"/>
      <c r="B21" s="59" t="s">
        <v>30</v>
      </c>
      <c r="C21" s="58">
        <v>0.04</v>
      </c>
      <c r="D21" s="27">
        <f>C21/C43*D43</f>
        <v>1216.1759413202935</v>
      </c>
      <c r="E21" s="27">
        <f>D21/$D$39*100</f>
        <v>0.24449877750611246</v>
      </c>
      <c r="F21" s="27">
        <f>C21/C43*F43</f>
        <v>1118.6951344743277</v>
      </c>
      <c r="G21" s="57">
        <v>3582.6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94557.679437652827</v>
      </c>
      <c r="E24" s="39">
        <f>E25+E26</f>
        <v>19.009779951100246</v>
      </c>
      <c r="F24" s="38">
        <f>F25+F26</f>
        <v>86978.546705378976</v>
      </c>
      <c r="G24" s="37">
        <f>G25+G26</f>
        <v>83098.8</v>
      </c>
    </row>
    <row r="25" spans="1:7">
      <c r="A25" s="33"/>
      <c r="B25" s="35" t="s">
        <v>26</v>
      </c>
      <c r="C25" s="36">
        <v>2.36</v>
      </c>
      <c r="D25" s="27">
        <f>C25/C43*D43</f>
        <v>71754.380537897319</v>
      </c>
      <c r="E25" s="27">
        <f>D25/$D$39*100</f>
        <v>14.425427872860636</v>
      </c>
      <c r="F25" s="27">
        <f>C25/C43*F43</f>
        <v>66003.01293398533</v>
      </c>
      <c r="G25" s="26">
        <v>66410</v>
      </c>
    </row>
    <row r="26" spans="1:7">
      <c r="A26" s="33"/>
      <c r="B26" s="35" t="s">
        <v>25</v>
      </c>
      <c r="C26" s="31">
        <v>0.75</v>
      </c>
      <c r="D26" s="27">
        <f>C26/C43*D43</f>
        <v>22803.298899755504</v>
      </c>
      <c r="E26" s="27">
        <f>D26/$D$39*100</f>
        <v>4.5843520782396086</v>
      </c>
      <c r="F26" s="27">
        <f>C26/C43*F43</f>
        <v>20975.533771393646</v>
      </c>
      <c r="G26" s="26">
        <v>16688.8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49863.21359413203</v>
      </c>
      <c r="E27" s="21">
        <f>E28+E29</f>
        <v>10.024449877750609</v>
      </c>
      <c r="F27" s="20">
        <f>F28+F29</f>
        <v>45866.500513447434</v>
      </c>
      <c r="G27" s="19">
        <f>G28+G29</f>
        <v>81783.199999999997</v>
      </c>
    </row>
    <row r="28" spans="1:7">
      <c r="A28" s="33"/>
      <c r="B28" s="32" t="s">
        <v>22</v>
      </c>
      <c r="C28" s="31">
        <v>0.84</v>
      </c>
      <c r="D28" s="27">
        <f>C28/C43*D43</f>
        <v>25539.694767726163</v>
      </c>
      <c r="E28" s="27">
        <f>D28/$D$39*100</f>
        <v>5.1344743276283609</v>
      </c>
      <c r="F28" s="27">
        <f>C28/C43*F43</f>
        <v>23492.597823960881</v>
      </c>
      <c r="G28" s="26">
        <v>15028</v>
      </c>
    </row>
    <row r="29" spans="1:7">
      <c r="A29" s="33"/>
      <c r="B29" s="32" t="s">
        <v>21</v>
      </c>
      <c r="C29" s="31">
        <v>0.8</v>
      </c>
      <c r="D29" s="27">
        <f>C29/C43*D43</f>
        <v>24323.518826405871</v>
      </c>
      <c r="E29" s="27">
        <f>D29/$D$39*100</f>
        <v>4.8899755501222488</v>
      </c>
      <c r="F29" s="27">
        <f>C29/C43*F43</f>
        <v>22373.902689486553</v>
      </c>
      <c r="G29" s="26">
        <v>66755.199999999997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36789.322224938871</v>
      </c>
      <c r="E30" s="25">
        <f>D30/$D$39*100</f>
        <v>7.3960880195599001</v>
      </c>
      <c r="F30" s="25">
        <f>C30/C43*F43</f>
        <v>33840.527817848408</v>
      </c>
      <c r="G30" s="19">
        <f>1.18*G11*12</f>
        <v>35877.191999999995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138035.96933985333</v>
      </c>
      <c r="E31" s="21">
        <f>SUM(E32:E37)</f>
        <v>27.75061124694377</v>
      </c>
      <c r="F31" s="20">
        <f>SUM(F32:F37)</f>
        <v>126971.89776283619</v>
      </c>
      <c r="G31" s="19">
        <f>G32+G33+G34+G35+G36+G37</f>
        <v>144420.9</v>
      </c>
    </row>
    <row r="32" spans="1:7" ht="19.5">
      <c r="A32" s="18"/>
      <c r="B32" s="32" t="s">
        <v>16</v>
      </c>
      <c r="C32" s="31">
        <v>2.08</v>
      </c>
      <c r="D32" s="27">
        <f>C32/C43*D43</f>
        <v>63241.14894865526</v>
      </c>
      <c r="E32" s="27">
        <f t="shared" ref="E32:E40" si="0">D32/$D$39*100</f>
        <v>12.713936430317846</v>
      </c>
      <c r="F32" s="27">
        <f>C32/C43*F43</f>
        <v>58172.146992665039</v>
      </c>
      <c r="G32" s="34">
        <f>2.57*G11*12</f>
        <v>78139.30799999999</v>
      </c>
    </row>
    <row r="33" spans="1:7">
      <c r="A33" s="33"/>
      <c r="B33" s="32" t="s">
        <v>15</v>
      </c>
      <c r="C33" s="31">
        <v>0.78</v>
      </c>
      <c r="D33" s="27">
        <f>C33/C43*D43</f>
        <v>23715.430855745726</v>
      </c>
      <c r="E33" s="27">
        <f t="shared" si="0"/>
        <v>4.7677261613691932</v>
      </c>
      <c r="F33" s="27">
        <f>C33/C43*F43</f>
        <v>21814.555122249392</v>
      </c>
      <c r="G33" s="26">
        <f xml:space="preserve"> 0.57*G11*12</f>
        <v>17330.507999999998</v>
      </c>
    </row>
    <row r="34" spans="1:7">
      <c r="A34" s="30"/>
      <c r="B34" s="29" t="s">
        <v>14</v>
      </c>
      <c r="C34" s="28">
        <v>0.5</v>
      </c>
      <c r="D34" s="27">
        <f>C34/C43*D43</f>
        <v>15202.199266503669</v>
      </c>
      <c r="E34" s="27">
        <f t="shared" si="0"/>
        <v>3.0562347188264058</v>
      </c>
      <c r="F34" s="27">
        <f>C34/C43*F43</f>
        <v>13983.689180929096</v>
      </c>
      <c r="G34" s="26">
        <f xml:space="preserve"> 0.28*G11*12</f>
        <v>8513.232</v>
      </c>
    </row>
    <row r="35" spans="1:7">
      <c r="A35" s="30"/>
      <c r="B35" s="29" t="s">
        <v>13</v>
      </c>
      <c r="C35" s="28">
        <v>0.35</v>
      </c>
      <c r="D35" s="27">
        <f>C35/C43*D43</f>
        <v>10641.539486552567</v>
      </c>
      <c r="E35" s="27">
        <f t="shared" si="0"/>
        <v>2.1393643031784837</v>
      </c>
      <c r="F35" s="27">
        <f>C35/C43*F43</f>
        <v>9788.582426650366</v>
      </c>
      <c r="G35" s="26">
        <f xml:space="preserve"> 0.19*G11*12</f>
        <v>5776.8359999999993</v>
      </c>
    </row>
    <row r="36" spans="1:7">
      <c r="A36" s="30"/>
      <c r="B36" s="29" t="s">
        <v>12</v>
      </c>
      <c r="C36" s="28">
        <v>0.39</v>
      </c>
      <c r="D36" s="27">
        <f>C36/C43*D43</f>
        <v>11857.715427872863</v>
      </c>
      <c r="E36" s="27">
        <f t="shared" si="0"/>
        <v>2.3838630806845966</v>
      </c>
      <c r="F36" s="27">
        <f>C36/C43*F43</f>
        <v>10907.277561124696</v>
      </c>
      <c r="G36" s="26">
        <f xml:space="preserve"> 0.28*G11*12</f>
        <v>8513.232</v>
      </c>
    </row>
    <row r="37" spans="1:7">
      <c r="A37" s="30"/>
      <c r="B37" s="29" t="s">
        <v>11</v>
      </c>
      <c r="C37" s="28">
        <v>0.44</v>
      </c>
      <c r="D37" s="27">
        <f>C37/C43*D43</f>
        <v>13377.93535452323</v>
      </c>
      <c r="E37" s="27">
        <f t="shared" si="0"/>
        <v>2.6894865525672369</v>
      </c>
      <c r="F37" s="27">
        <f>C37/C43*F43</f>
        <v>12305.646479217605</v>
      </c>
      <c r="G37" s="26">
        <f xml:space="preserve"> 0.86*G11*12</f>
        <v>26147.784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24323.518826405871</v>
      </c>
      <c r="E38" s="25">
        <f t="shared" si="0"/>
        <v>4.8899755501222488</v>
      </c>
      <c r="F38" s="25">
        <f>C38/C43*F43</f>
        <v>22373.902689486553</v>
      </c>
      <c r="G38" s="19">
        <f xml:space="preserve"> 0.81*G11*12</f>
        <v>24627.563999999998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497415.96000000008</v>
      </c>
      <c r="E39" s="24">
        <f t="shared" si="0"/>
        <v>100</v>
      </c>
      <c r="F39" s="20">
        <f>F17+F24+F27+F30+F31+F38</f>
        <v>457546.31</v>
      </c>
      <c r="G39" s="19">
        <f>G17+G24+G27+G30+G31+G38</f>
        <v>515378.804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497415.96</v>
      </c>
      <c r="E43" s="9">
        <f>E39+E41</f>
        <v>118</v>
      </c>
      <c r="F43" s="8">
        <v>457546.31</v>
      </c>
      <c r="G43" s="7">
        <f>G39+G40</f>
        <v>515378.804</v>
      </c>
    </row>
    <row r="44" spans="1:7">
      <c r="D44" s="2" t="s">
        <v>6</v>
      </c>
      <c r="F44" s="6">
        <f>F43/D43</f>
        <v>0.91984646009347992</v>
      </c>
    </row>
    <row r="45" spans="1:7">
      <c r="C45" s="2" t="s">
        <v>52</v>
      </c>
      <c r="G45" s="2">
        <f>F43-G43</f>
        <v>-57832.494000000006</v>
      </c>
    </row>
    <row r="46" spans="1:7" ht="18.75">
      <c r="A46" s="5"/>
      <c r="B46" s="4" t="s">
        <v>4</v>
      </c>
      <c r="C46" s="3">
        <v>199607.51</v>
      </c>
      <c r="D46" s="3" t="s">
        <v>1</v>
      </c>
    </row>
    <row r="47" spans="1:7" ht="18.75">
      <c r="A47" s="5"/>
      <c r="B47" s="4" t="s">
        <v>3</v>
      </c>
      <c r="C47" s="3">
        <f>D43-F43</f>
        <v>39869.650000000023</v>
      </c>
      <c r="D47" s="3" t="s">
        <v>1</v>
      </c>
    </row>
    <row r="48" spans="1:7" ht="18.75">
      <c r="A48" s="5"/>
      <c r="B48" s="4" t="s">
        <v>2</v>
      </c>
      <c r="C48" s="3">
        <f>C46+C47</f>
        <v>239477.16000000003</v>
      </c>
      <c r="D48" s="3" t="s">
        <v>1</v>
      </c>
    </row>
    <row r="49" spans="1:4" s="1" customFormat="1" ht="18.75">
      <c r="A49" s="5"/>
      <c r="B49" s="4"/>
      <c r="C49" s="3"/>
      <c r="D49" s="3"/>
    </row>
    <row r="54" spans="1:4" s="1" customFormat="1">
      <c r="B54" s="1" t="s">
        <v>0</v>
      </c>
      <c r="C54" s="2"/>
      <c r="D54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3"/>
  <sheetViews>
    <sheetView topLeftCell="A16" zoomScale="75" zoomScaleNormal="50" workbookViewId="0">
      <selection activeCell="L38" sqref="L38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79" t="s">
        <v>47</v>
      </c>
      <c r="B7" s="79"/>
      <c r="C7" s="79"/>
      <c r="D7" s="79"/>
      <c r="E7" s="79"/>
      <c r="F7" s="79"/>
      <c r="G7" s="79"/>
    </row>
    <row r="8" spans="1:7" ht="18.75">
      <c r="A8" s="79" t="s">
        <v>55</v>
      </c>
      <c r="B8" s="79"/>
      <c r="C8" s="79"/>
      <c r="D8" s="79"/>
      <c r="E8" s="79"/>
      <c r="F8" s="79"/>
      <c r="G8" s="79"/>
    </row>
    <row r="9" spans="1:7" ht="18.75">
      <c r="A9" s="79" t="s">
        <v>45</v>
      </c>
      <c r="B9" s="79"/>
      <c r="C9" s="79"/>
      <c r="D9" s="79"/>
      <c r="E9" s="79"/>
      <c r="F9" s="79"/>
      <c r="G9" s="79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2914.3</v>
      </c>
    </row>
    <row r="12" spans="1:7" ht="16.5" thickBot="1">
      <c r="A12" s="83" t="s">
        <v>44</v>
      </c>
      <c r="B12" s="85" t="s">
        <v>43</v>
      </c>
      <c r="C12" s="80" t="s">
        <v>42</v>
      </c>
      <c r="D12" s="81"/>
      <c r="E12" s="81"/>
      <c r="F12" s="82"/>
      <c r="G12" s="87" t="s">
        <v>41</v>
      </c>
    </row>
    <row r="13" spans="1:7">
      <c r="A13" s="84"/>
      <c r="B13" s="86"/>
      <c r="C13" s="72" t="s">
        <v>40</v>
      </c>
      <c r="D13" s="71" t="s">
        <v>39</v>
      </c>
      <c r="E13" s="70"/>
      <c r="F13" s="69" t="s">
        <v>38</v>
      </c>
      <c r="G13" s="88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176967.88327628362</v>
      </c>
      <c r="E17" s="39">
        <f>SUM(E18:E21)</f>
        <v>30.929095354523223</v>
      </c>
      <c r="F17" s="38">
        <f>SUM(F18:F21)</f>
        <v>175469.91605134474</v>
      </c>
      <c r="G17" s="37">
        <f>G18+G19+G20+G21</f>
        <v>163317.37200000003</v>
      </c>
    </row>
    <row r="18" spans="1:7">
      <c r="A18" s="33"/>
      <c r="B18" s="35" t="s">
        <v>33</v>
      </c>
      <c r="C18" s="36">
        <v>2.58</v>
      </c>
      <c r="D18" s="27">
        <f>C18/C43*D43</f>
        <v>90232.636136919318</v>
      </c>
      <c r="E18" s="27">
        <f>D18/$D$39*100</f>
        <v>15.770171149144252</v>
      </c>
      <c r="F18" s="27">
        <f>C18/C43*F43</f>
        <v>89468.850476772612</v>
      </c>
      <c r="G18" s="61">
        <f>2.24*G11*12</f>
        <v>78336.38400000002</v>
      </c>
    </row>
    <row r="19" spans="1:7">
      <c r="A19" s="33"/>
      <c r="B19" s="35" t="s">
        <v>32</v>
      </c>
      <c r="C19" s="31">
        <v>1.75</v>
      </c>
      <c r="D19" s="27">
        <f>C19/C43*D43</f>
        <v>61204.307457212715</v>
      </c>
      <c r="E19" s="27">
        <f>D19/$D$39*100</f>
        <v>10.69682151589242</v>
      </c>
      <c r="F19" s="27">
        <f>C19/C43*F43</f>
        <v>60686.235788508558</v>
      </c>
      <c r="G19" s="61">
        <f>1.66*G11*12</f>
        <v>58052.856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24131.984083129584</v>
      </c>
      <c r="E20" s="27">
        <f>D20/$D$39*100</f>
        <v>4.2176039119804392</v>
      </c>
      <c r="F20" s="27">
        <f>C20/C43*F43</f>
        <v>23927.715825183375</v>
      </c>
      <c r="G20" s="61">
        <f>0.77*G11*12</f>
        <v>26928.131999999998</v>
      </c>
    </row>
    <row r="21" spans="1:7">
      <c r="A21" s="60"/>
      <c r="B21" s="59" t="s">
        <v>30</v>
      </c>
      <c r="C21" s="58">
        <v>0.04</v>
      </c>
      <c r="D21" s="27">
        <f>C21/C43*D43</f>
        <v>1398.9555990220049</v>
      </c>
      <c r="E21" s="27">
        <f>D21/$D$39*100</f>
        <v>0.24449877750611243</v>
      </c>
      <c r="F21" s="27">
        <f>C21/C43*F43</f>
        <v>1387.1139608801955</v>
      </c>
      <c r="G21" s="57">
        <v>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108768.79782396088</v>
      </c>
      <c r="E24" s="39">
        <f>E25+E26</f>
        <v>19.009779951100242</v>
      </c>
      <c r="F24" s="38">
        <f>F25+F26</f>
        <v>107848.1104584352</v>
      </c>
      <c r="G24" s="37">
        <f>G25+G26</f>
        <v>66438.2</v>
      </c>
    </row>
    <row r="25" spans="1:7">
      <c r="A25" s="33"/>
      <c r="B25" s="35" t="s">
        <v>26</v>
      </c>
      <c r="C25" s="36">
        <v>2.36</v>
      </c>
      <c r="D25" s="27">
        <f>C25/C43*D43</f>
        <v>82538.380342298289</v>
      </c>
      <c r="E25" s="27">
        <f>D25/$D$39*100</f>
        <v>14.425427872860633</v>
      </c>
      <c r="F25" s="27">
        <f>C25/C43*F43</f>
        <v>81839.723691931533</v>
      </c>
      <c r="G25" s="26">
        <v>47647</v>
      </c>
    </row>
    <row r="26" spans="1:7">
      <c r="A26" s="33"/>
      <c r="B26" s="35" t="s">
        <v>25</v>
      </c>
      <c r="C26" s="31">
        <v>0.75</v>
      </c>
      <c r="D26" s="27">
        <f>C26/C43*D43</f>
        <v>26230.417481662593</v>
      </c>
      <c r="E26" s="27">
        <f>D26/$D$39*100</f>
        <v>4.5843520782396086</v>
      </c>
      <c r="F26" s="27">
        <f>C26/C43*F43</f>
        <v>26008.386766503667</v>
      </c>
      <c r="G26" s="26">
        <v>18791.2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57357.179559902201</v>
      </c>
      <c r="E27" s="21">
        <f>E28+E29</f>
        <v>10.024449877750609</v>
      </c>
      <c r="F27" s="20">
        <f>F28+F29</f>
        <v>56871.672396088019</v>
      </c>
      <c r="G27" s="19">
        <f>G28+G29</f>
        <v>13611.8</v>
      </c>
    </row>
    <row r="28" spans="1:7">
      <c r="A28" s="33"/>
      <c r="B28" s="32" t="s">
        <v>22</v>
      </c>
      <c r="C28" s="31">
        <v>0.84</v>
      </c>
      <c r="D28" s="27">
        <f>C28/C43*D43</f>
        <v>29378.067579462102</v>
      </c>
      <c r="E28" s="27">
        <f>D28/$D$39*100</f>
        <v>5.1344743276283609</v>
      </c>
      <c r="F28" s="27">
        <f>C28/C43*F43</f>
        <v>29129.393178484108</v>
      </c>
      <c r="G28" s="26">
        <v>8914</v>
      </c>
    </row>
    <row r="29" spans="1:7">
      <c r="A29" s="33"/>
      <c r="B29" s="32" t="s">
        <v>21</v>
      </c>
      <c r="C29" s="31">
        <v>0.8</v>
      </c>
      <c r="D29" s="27">
        <f>C29/C43*D43</f>
        <v>27979.111980440099</v>
      </c>
      <c r="E29" s="27">
        <f>D29/$D$39*100</f>
        <v>4.8899755501222488</v>
      </c>
      <c r="F29" s="27">
        <f>C29/C43*F43</f>
        <v>27742.279217603915</v>
      </c>
      <c r="G29" s="26">
        <v>4697.8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42318.406870415645</v>
      </c>
      <c r="E30" s="25">
        <f>D30/$D$39*100</f>
        <v>7.3960880195599001</v>
      </c>
      <c r="F30" s="25">
        <f>C30/C43*F43</f>
        <v>41960.197316625912</v>
      </c>
      <c r="G30" s="19">
        <f>1.18*G11*12</f>
        <v>41266.488000000005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158781.46048899757</v>
      </c>
      <c r="E31" s="21">
        <f>SUM(E32:E37)</f>
        <v>27.75061124694377</v>
      </c>
      <c r="F31" s="20">
        <f>SUM(F32:F37)</f>
        <v>157437.43455990223</v>
      </c>
      <c r="G31" s="19">
        <f>G32+G33+G34+G35+G36+G37</f>
        <v>166115.1</v>
      </c>
    </row>
    <row r="32" spans="1:7" ht="19.5">
      <c r="A32" s="18"/>
      <c r="B32" s="32" t="s">
        <v>16</v>
      </c>
      <c r="C32" s="31">
        <v>2.08</v>
      </c>
      <c r="D32" s="27">
        <f>C32/C43*D43</f>
        <v>72745.691149144259</v>
      </c>
      <c r="E32" s="27">
        <f t="shared" ref="E32:E40" si="0">D32/$D$39*100</f>
        <v>12.713936430317849</v>
      </c>
      <c r="F32" s="27">
        <f>C32/C43*F43</f>
        <v>72129.925965770177</v>
      </c>
      <c r="G32" s="34">
        <f>2.57*G11*12</f>
        <v>89877.012000000002</v>
      </c>
    </row>
    <row r="33" spans="1:7">
      <c r="A33" s="33"/>
      <c r="B33" s="32" t="s">
        <v>15</v>
      </c>
      <c r="C33" s="31">
        <v>0.78</v>
      </c>
      <c r="D33" s="27">
        <f>C33/C43*D43</f>
        <v>27279.634180929097</v>
      </c>
      <c r="E33" s="27">
        <f t="shared" si="0"/>
        <v>4.7677261613691932</v>
      </c>
      <c r="F33" s="27">
        <f>C33/C43*F43</f>
        <v>27048.722237163816</v>
      </c>
      <c r="G33" s="26">
        <f xml:space="preserve"> 0.57*G11*12</f>
        <v>19933.812000000002</v>
      </c>
    </row>
    <row r="34" spans="1:7">
      <c r="A34" s="30"/>
      <c r="B34" s="29" t="s">
        <v>14</v>
      </c>
      <c r="C34" s="28">
        <v>0.5</v>
      </c>
      <c r="D34" s="27">
        <f>C34/C43*D43</f>
        <v>17486.944987775063</v>
      </c>
      <c r="E34" s="27">
        <f t="shared" si="0"/>
        <v>3.0562347188264058</v>
      </c>
      <c r="F34" s="27">
        <f>C34/C43*F43</f>
        <v>17338.924511002446</v>
      </c>
      <c r="G34" s="26">
        <f xml:space="preserve"> 0.28*G11*12</f>
        <v>9792.0480000000025</v>
      </c>
    </row>
    <row r="35" spans="1:7">
      <c r="A35" s="30"/>
      <c r="B35" s="29" t="s">
        <v>13</v>
      </c>
      <c r="C35" s="28">
        <v>0.35</v>
      </c>
      <c r="D35" s="27">
        <f>C35/C43*D43</f>
        <v>12240.861491442542</v>
      </c>
      <c r="E35" s="27">
        <f t="shared" si="0"/>
        <v>2.1393643031784837</v>
      </c>
      <c r="F35" s="27">
        <f>C35/C43*F43</f>
        <v>12137.24715770171</v>
      </c>
      <c r="G35" s="26">
        <f xml:space="preserve"> 0.19*G11*12</f>
        <v>6644.6039999999994</v>
      </c>
    </row>
    <row r="36" spans="1:7">
      <c r="A36" s="30"/>
      <c r="B36" s="29" t="s">
        <v>12</v>
      </c>
      <c r="C36" s="28">
        <v>0.39</v>
      </c>
      <c r="D36" s="27">
        <f>C36/C43*D43</f>
        <v>13639.817090464549</v>
      </c>
      <c r="E36" s="27">
        <f t="shared" si="0"/>
        <v>2.3838630806845966</v>
      </c>
      <c r="F36" s="27">
        <f>C36/C43*F43</f>
        <v>13524.361118581908</v>
      </c>
      <c r="G36" s="26">
        <f xml:space="preserve"> 0.28*G11*12</f>
        <v>9792.0480000000025</v>
      </c>
    </row>
    <row r="37" spans="1:7">
      <c r="A37" s="30"/>
      <c r="B37" s="29" t="s">
        <v>11</v>
      </c>
      <c r="C37" s="28">
        <v>0.44</v>
      </c>
      <c r="D37" s="27">
        <f>C37/C43*D43</f>
        <v>15388.511589242054</v>
      </c>
      <c r="E37" s="27">
        <f t="shared" si="0"/>
        <v>2.6894865525672369</v>
      </c>
      <c r="F37" s="27">
        <f>C37/C43*F43</f>
        <v>15258.253569682152</v>
      </c>
      <c r="G37" s="26">
        <f xml:space="preserve"> 0.86*G11*12</f>
        <v>30075.576000000001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27979.111980440099</v>
      </c>
      <c r="E38" s="25">
        <f t="shared" si="0"/>
        <v>4.8899755501222488</v>
      </c>
      <c r="F38" s="25">
        <f>C38/C43*F43</f>
        <v>27742.279217603915</v>
      </c>
      <c r="G38" s="19">
        <f xml:space="preserve"> 0.81*G11*12</f>
        <v>28326.995999999999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572172.84000000008</v>
      </c>
      <c r="E39" s="24">
        <f t="shared" si="0"/>
        <v>100</v>
      </c>
      <c r="F39" s="20">
        <f>F17+F24+F27+F30+F31+F38</f>
        <v>567329.6100000001</v>
      </c>
      <c r="G39" s="19">
        <f>G17+G24+G27+G30+G31+G38</f>
        <v>479075.95600000006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572172.84</v>
      </c>
      <c r="E43" s="9">
        <f>E39+E41</f>
        <v>118</v>
      </c>
      <c r="F43" s="8">
        <v>567329.61</v>
      </c>
      <c r="G43" s="7">
        <f>G39+G40</f>
        <v>479075.95600000006</v>
      </c>
    </row>
    <row r="44" spans="1:7">
      <c r="D44" s="2" t="s">
        <v>6</v>
      </c>
      <c r="F44" s="6">
        <f>F43/D43</f>
        <v>0.99153537242347967</v>
      </c>
    </row>
    <row r="45" spans="1:7">
      <c r="C45" s="2" t="s">
        <v>54</v>
      </c>
      <c r="G45" s="2">
        <f>F43-G43</f>
        <v>88253.653999999922</v>
      </c>
    </row>
    <row r="46" spans="1:7" ht="18.75">
      <c r="A46" s="5"/>
      <c r="B46" s="4" t="s">
        <v>4</v>
      </c>
      <c r="C46" s="3">
        <v>248336.45</v>
      </c>
      <c r="D46" s="3" t="s">
        <v>1</v>
      </c>
    </row>
    <row r="47" spans="1:7" ht="18.75">
      <c r="A47" s="5"/>
      <c r="B47" s="4" t="s">
        <v>3</v>
      </c>
      <c r="C47" s="3">
        <f>D43-F43</f>
        <v>4843.2299999999814</v>
      </c>
      <c r="D47" s="3" t="s">
        <v>1</v>
      </c>
    </row>
    <row r="48" spans="1:7" ht="18.75">
      <c r="A48" s="5"/>
      <c r="B48" s="4" t="s">
        <v>2</v>
      </c>
      <c r="C48" s="3">
        <f>C46+C47</f>
        <v>253179.68</v>
      </c>
      <c r="D48" s="3" t="s">
        <v>1</v>
      </c>
    </row>
    <row r="49" spans="1:4" s="1" customFormat="1" ht="18.75">
      <c r="A49" s="5"/>
      <c r="B49" s="4"/>
      <c r="C49" s="3"/>
      <c r="D49" s="3"/>
    </row>
    <row r="53" spans="1:4" s="1" customFormat="1">
      <c r="B53" s="1" t="s">
        <v>0</v>
      </c>
      <c r="C53" s="2"/>
      <c r="D53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3"/>
  <sheetViews>
    <sheetView tabSelected="1" zoomScale="75" zoomScaleNormal="50" workbookViewId="0">
      <selection activeCell="I47" sqref="I47"/>
    </sheetView>
  </sheetViews>
  <sheetFormatPr defaultRowHeight="15.75"/>
  <cols>
    <col min="1" max="1" width="5.5703125" style="1" customWidth="1"/>
    <col min="2" max="2" width="54.28515625" style="1" customWidth="1"/>
    <col min="3" max="3" width="13" style="2" customWidth="1"/>
    <col min="4" max="4" width="15.85546875" style="2" customWidth="1"/>
    <col min="5" max="5" width="9.7109375" style="2" hidden="1" customWidth="1"/>
    <col min="6" max="6" width="17.140625" style="2" customWidth="1"/>
    <col min="7" max="7" width="23" style="2" customWidth="1"/>
    <col min="8" max="16384" width="9.140625" style="1"/>
  </cols>
  <sheetData>
    <row r="1" spans="1:7" ht="18.75">
      <c r="A1" s="78"/>
      <c r="B1" s="78"/>
      <c r="C1" s="77"/>
      <c r="D1" s="77"/>
      <c r="E1" s="77"/>
      <c r="F1" s="77"/>
      <c r="G1" s="77"/>
    </row>
    <row r="2" spans="1:7" ht="18.75">
      <c r="A2" s="78"/>
      <c r="B2" s="78"/>
      <c r="C2" s="77"/>
      <c r="D2" s="77"/>
      <c r="E2" s="77"/>
      <c r="F2" s="77"/>
      <c r="G2" s="77"/>
    </row>
    <row r="3" spans="1:7" ht="18.75">
      <c r="A3" s="78"/>
      <c r="B3" s="78"/>
      <c r="C3" s="77"/>
      <c r="D3" s="77"/>
      <c r="E3" s="77"/>
      <c r="F3" s="77"/>
      <c r="G3" s="77"/>
    </row>
    <row r="4" spans="1:7" ht="18.75">
      <c r="A4" s="78"/>
      <c r="B4" s="78"/>
      <c r="C4" s="77"/>
      <c r="D4" s="77"/>
      <c r="E4" s="77"/>
      <c r="F4" s="77"/>
      <c r="G4" s="77"/>
    </row>
    <row r="5" spans="1:7" ht="18.75">
      <c r="A5" s="78"/>
      <c r="B5" s="78"/>
      <c r="C5" s="77"/>
      <c r="D5" s="77"/>
      <c r="E5" s="77"/>
      <c r="F5" s="77"/>
      <c r="G5" s="77"/>
    </row>
    <row r="6" spans="1:7" ht="18.75">
      <c r="A6" s="78"/>
      <c r="B6" s="78"/>
      <c r="C6" s="77"/>
      <c r="D6" s="77"/>
      <c r="E6" s="77"/>
      <c r="F6" s="77"/>
      <c r="G6" s="77"/>
    </row>
    <row r="7" spans="1:7" ht="18.75">
      <c r="A7" s="79" t="s">
        <v>47</v>
      </c>
      <c r="B7" s="79"/>
      <c r="C7" s="79"/>
      <c r="D7" s="79"/>
      <c r="E7" s="79"/>
      <c r="F7" s="79"/>
      <c r="G7" s="79"/>
    </row>
    <row r="8" spans="1:7" ht="18.75">
      <c r="A8" s="79" t="s">
        <v>57</v>
      </c>
      <c r="B8" s="79"/>
      <c r="C8" s="79"/>
      <c r="D8" s="79"/>
      <c r="E8" s="79"/>
      <c r="F8" s="79"/>
      <c r="G8" s="79"/>
    </row>
    <row r="9" spans="1:7" ht="18.75">
      <c r="A9" s="79" t="s">
        <v>45</v>
      </c>
      <c r="B9" s="79"/>
      <c r="C9" s="79"/>
      <c r="D9" s="79"/>
      <c r="E9" s="79"/>
      <c r="F9" s="79"/>
      <c r="G9" s="79"/>
    </row>
    <row r="10" spans="1:7" ht="18.75">
      <c r="A10" s="76"/>
      <c r="B10" s="76"/>
      <c r="C10" s="75"/>
      <c r="D10" s="75"/>
      <c r="E10" s="75"/>
      <c r="F10" s="75"/>
      <c r="G10" s="75"/>
    </row>
    <row r="11" spans="1:7" ht="16.5" thickBot="1">
      <c r="A11" s="73"/>
      <c r="B11" s="74"/>
      <c r="C11" s="73"/>
      <c r="D11" s="73"/>
      <c r="E11" s="73"/>
      <c r="F11" s="73"/>
      <c r="G11" s="73">
        <v>3206.5</v>
      </c>
    </row>
    <row r="12" spans="1:7" ht="16.5" thickBot="1">
      <c r="A12" s="83" t="s">
        <v>44</v>
      </c>
      <c r="B12" s="85" t="s">
        <v>43</v>
      </c>
      <c r="C12" s="80" t="s">
        <v>42</v>
      </c>
      <c r="D12" s="81"/>
      <c r="E12" s="81"/>
      <c r="F12" s="82"/>
      <c r="G12" s="87" t="s">
        <v>41</v>
      </c>
    </row>
    <row r="13" spans="1:7">
      <c r="A13" s="84"/>
      <c r="B13" s="86"/>
      <c r="C13" s="72" t="s">
        <v>40</v>
      </c>
      <c r="D13" s="71" t="s">
        <v>39</v>
      </c>
      <c r="E13" s="70"/>
      <c r="F13" s="69" t="s">
        <v>38</v>
      </c>
      <c r="G13" s="88"/>
    </row>
    <row r="14" spans="1:7">
      <c r="A14" s="68"/>
      <c r="B14" s="67"/>
      <c r="C14" s="66"/>
      <c r="D14" s="65"/>
      <c r="E14" s="64"/>
      <c r="F14" s="63"/>
      <c r="G14" s="62"/>
    </row>
    <row r="15" spans="1:7" ht="19.5">
      <c r="A15" s="56" t="s">
        <v>37</v>
      </c>
      <c r="B15" s="55" t="s">
        <v>36</v>
      </c>
      <c r="C15" s="54"/>
      <c r="D15" s="53"/>
      <c r="E15" s="52"/>
      <c r="F15" s="51"/>
      <c r="G15" s="50"/>
    </row>
    <row r="16" spans="1:7" ht="19.5">
      <c r="A16" s="49"/>
      <c r="B16" s="48" t="s">
        <v>35</v>
      </c>
      <c r="C16" s="47"/>
      <c r="D16" s="46"/>
      <c r="E16" s="45"/>
      <c r="F16" s="44"/>
      <c r="G16" s="43"/>
    </row>
    <row r="17" spans="1:7" ht="19.5">
      <c r="A17" s="42"/>
      <c r="B17" s="41" t="s">
        <v>34</v>
      </c>
      <c r="C17" s="40">
        <f>C18+C19+C20+C21</f>
        <v>5.0599999999999996</v>
      </c>
      <c r="D17" s="39">
        <f>SUM(D18:D21)</f>
        <v>194703.77402200489</v>
      </c>
      <c r="E17" s="39">
        <f>SUM(E18:E21)</f>
        <v>30.929095354523223</v>
      </c>
      <c r="F17" s="38">
        <f>SUM(F18:F21)</f>
        <v>180438.88553789732</v>
      </c>
      <c r="G17" s="37">
        <f>G18+G19+G20+G21</f>
        <v>181932.26</v>
      </c>
    </row>
    <row r="18" spans="1:7">
      <c r="A18" s="33"/>
      <c r="B18" s="35" t="s">
        <v>33</v>
      </c>
      <c r="C18" s="36">
        <v>2.58</v>
      </c>
      <c r="D18" s="27">
        <f>C18/C43*D43</f>
        <v>99275.837347188281</v>
      </c>
      <c r="E18" s="27">
        <f>D18/$D$39*100</f>
        <v>15.770171149144252</v>
      </c>
      <c r="F18" s="27">
        <f>C18/C43*F43</f>
        <v>92002.435709046462</v>
      </c>
      <c r="G18" s="61">
        <f>2.24*G11*12</f>
        <v>86190.720000000001</v>
      </c>
    </row>
    <row r="19" spans="1:7">
      <c r="A19" s="33"/>
      <c r="B19" s="35" t="s">
        <v>32</v>
      </c>
      <c r="C19" s="31">
        <v>1.75</v>
      </c>
      <c r="D19" s="27">
        <f>C19/C43*D43</f>
        <v>67338.261766503681</v>
      </c>
      <c r="E19" s="27">
        <f>D19/$D$39*100</f>
        <v>10.69682151589242</v>
      </c>
      <c r="F19" s="27">
        <f>C19/C43*F43</f>
        <v>62404.752903422988</v>
      </c>
      <c r="G19" s="61">
        <f>1.66*G11*12</f>
        <v>63873.479999999996</v>
      </c>
    </row>
    <row r="20" spans="1:7">
      <c r="A20" s="33">
        <v>0</v>
      </c>
      <c r="B20" s="35" t="s">
        <v>31</v>
      </c>
      <c r="C20" s="31">
        <v>0.69</v>
      </c>
      <c r="D20" s="27">
        <f>C20/C43*D43</f>
        <v>26550.514639364304</v>
      </c>
      <c r="E20" s="27">
        <f>D20/$D$39*100</f>
        <v>4.2176039119804392</v>
      </c>
      <c r="F20" s="27">
        <f>C20/C43*F43</f>
        <v>24605.302573349636</v>
      </c>
      <c r="G20" s="61">
        <f>0.77*G11*12</f>
        <v>29628.06</v>
      </c>
    </row>
    <row r="21" spans="1:7">
      <c r="A21" s="60"/>
      <c r="B21" s="59" t="s">
        <v>30</v>
      </c>
      <c r="C21" s="58">
        <v>0.04</v>
      </c>
      <c r="D21" s="27">
        <f>C21/C43*D43</f>
        <v>1539.1602689486554</v>
      </c>
      <c r="E21" s="27">
        <f>D21/$D$39*100</f>
        <v>0.24449877750611243</v>
      </c>
      <c r="F21" s="27">
        <f>C21/C43*F43</f>
        <v>1426.3943520782398</v>
      </c>
      <c r="G21" s="57">
        <v>2240</v>
      </c>
    </row>
    <row r="22" spans="1:7" ht="19.5">
      <c r="A22" s="56" t="s">
        <v>29</v>
      </c>
      <c r="B22" s="55" t="s">
        <v>28</v>
      </c>
      <c r="C22" s="54"/>
      <c r="D22" s="53"/>
      <c r="E22" s="52"/>
      <c r="F22" s="51"/>
      <c r="G22" s="50"/>
    </row>
    <row r="23" spans="1:7" ht="19.5">
      <c r="A23" s="49"/>
      <c r="B23" s="48" t="s">
        <v>27</v>
      </c>
      <c r="C23" s="47"/>
      <c r="D23" s="46"/>
      <c r="E23" s="45"/>
      <c r="F23" s="44"/>
      <c r="G23" s="43"/>
    </row>
    <row r="24" spans="1:7" ht="19.5">
      <c r="A24" s="42"/>
      <c r="B24" s="41"/>
      <c r="C24" s="40">
        <f>C25+C26</f>
        <v>3.11</v>
      </c>
      <c r="D24" s="39">
        <f>D25+D26</f>
        <v>119669.71091075796</v>
      </c>
      <c r="E24" s="39">
        <f>E25+E26</f>
        <v>19.009779951100242</v>
      </c>
      <c r="F24" s="38">
        <f>F25+F26</f>
        <v>110902.16087408314</v>
      </c>
      <c r="G24" s="37">
        <f>G25+G26</f>
        <v>145572</v>
      </c>
    </row>
    <row r="25" spans="1:7">
      <c r="A25" s="33"/>
      <c r="B25" s="35" t="s">
        <v>26</v>
      </c>
      <c r="C25" s="36">
        <v>2.36</v>
      </c>
      <c r="D25" s="27">
        <f>C25/C43*D43</f>
        <v>90810.455867970668</v>
      </c>
      <c r="E25" s="27">
        <f>D25/$D$39*100</f>
        <v>14.425427872860633</v>
      </c>
      <c r="F25" s="27">
        <f>C25/C43*F43</f>
        <v>84157.266772616145</v>
      </c>
      <c r="G25" s="26">
        <v>121574</v>
      </c>
    </row>
    <row r="26" spans="1:7">
      <c r="A26" s="33"/>
      <c r="B26" s="35" t="s">
        <v>25</v>
      </c>
      <c r="C26" s="31">
        <v>0.75</v>
      </c>
      <c r="D26" s="27">
        <f>C26/C43*D43</f>
        <v>28859.255042787288</v>
      </c>
      <c r="E26" s="27">
        <f>D26/$D$39*100</f>
        <v>4.5843520782396077</v>
      </c>
      <c r="F26" s="27">
        <f>C26/C43*F43</f>
        <v>26744.894101466994</v>
      </c>
      <c r="G26" s="26">
        <v>23998</v>
      </c>
    </row>
    <row r="27" spans="1:7" ht="19.5">
      <c r="A27" s="23" t="s">
        <v>24</v>
      </c>
      <c r="B27" s="22" t="s">
        <v>23</v>
      </c>
      <c r="C27" s="10">
        <f>C28+C29</f>
        <v>1.6400000000000001</v>
      </c>
      <c r="D27" s="21">
        <f>D28+D29</f>
        <v>63105.571026894875</v>
      </c>
      <c r="E27" s="21">
        <f>E28+E29</f>
        <v>10.024449877750609</v>
      </c>
      <c r="F27" s="20">
        <f>F28+F29</f>
        <v>58482.16843520783</v>
      </c>
      <c r="G27" s="19">
        <f>G28+G29</f>
        <v>133752</v>
      </c>
    </row>
    <row r="28" spans="1:7">
      <c r="A28" s="33"/>
      <c r="B28" s="32" t="s">
        <v>22</v>
      </c>
      <c r="C28" s="31">
        <v>0.84</v>
      </c>
      <c r="D28" s="27">
        <f>C28/C43*D43</f>
        <v>32322.365647921764</v>
      </c>
      <c r="E28" s="27">
        <f>D28/$D$39*100</f>
        <v>5.1344743276283609</v>
      </c>
      <c r="F28" s="27">
        <f>C28/C43*F43</f>
        <v>29954.281393643036</v>
      </c>
      <c r="G28" s="26">
        <v>82547</v>
      </c>
    </row>
    <row r="29" spans="1:7">
      <c r="A29" s="33"/>
      <c r="B29" s="32" t="s">
        <v>21</v>
      </c>
      <c r="C29" s="31">
        <v>0.8</v>
      </c>
      <c r="D29" s="27">
        <f>C29/C43*D43</f>
        <v>30783.205378973111</v>
      </c>
      <c r="E29" s="27">
        <f>D29/$D$39*100</f>
        <v>4.8899755501222488</v>
      </c>
      <c r="F29" s="27">
        <f>C29/C43*F43</f>
        <v>28527.887041564794</v>
      </c>
      <c r="G29" s="26">
        <v>51205</v>
      </c>
    </row>
    <row r="30" spans="1:7" ht="19.5">
      <c r="A30" s="23" t="s">
        <v>20</v>
      </c>
      <c r="B30" s="22" t="s">
        <v>19</v>
      </c>
      <c r="C30" s="10">
        <v>1.21</v>
      </c>
      <c r="D30" s="25">
        <f>C30/C43*D43</f>
        <v>46559.598135696819</v>
      </c>
      <c r="E30" s="25">
        <f>D30/$D$39*100</f>
        <v>7.3960880195599001</v>
      </c>
      <c r="F30" s="25">
        <f>C30/C43*F43</f>
        <v>43148.429150366748</v>
      </c>
      <c r="G30" s="19">
        <f>1.18*G11*12</f>
        <v>45404.039999999994</v>
      </c>
    </row>
    <row r="31" spans="1:7" ht="19.5">
      <c r="A31" s="23" t="s">
        <v>18</v>
      </c>
      <c r="B31" s="22" t="s">
        <v>17</v>
      </c>
      <c r="C31" s="10">
        <f>C32+C33+C34+C35+C36+C37</f>
        <v>4.5400000000000009</v>
      </c>
      <c r="D31" s="21">
        <f>SUM(D32:D37)</f>
        <v>174694.6905256724</v>
      </c>
      <c r="E31" s="21">
        <f>SUM(E32:E37)</f>
        <v>27.75061124694377</v>
      </c>
      <c r="F31" s="20">
        <f>SUM(F32:F37)</f>
        <v>161895.75896088022</v>
      </c>
      <c r="G31" s="19">
        <f>G32+G33+G34+G35+G36+G37</f>
        <v>182770.5</v>
      </c>
    </row>
    <row r="32" spans="1:7" ht="19.5">
      <c r="A32" s="18"/>
      <c r="B32" s="32" t="s">
        <v>16</v>
      </c>
      <c r="C32" s="31">
        <v>2.08</v>
      </c>
      <c r="D32" s="27">
        <f>C32/C43*D43</f>
        <v>80036.333985330086</v>
      </c>
      <c r="E32" s="27">
        <f t="shared" ref="E32:E40" si="0">D32/$D$39*100</f>
        <v>12.713936430317846</v>
      </c>
      <c r="F32" s="27">
        <f>C32/C43*F43</f>
        <v>74172.506308068463</v>
      </c>
      <c r="G32" s="34">
        <f>2.57*G11*12</f>
        <v>98888.459999999992</v>
      </c>
    </row>
    <row r="33" spans="1:7">
      <c r="A33" s="33"/>
      <c r="B33" s="32" t="s">
        <v>15</v>
      </c>
      <c r="C33" s="31">
        <v>0.78</v>
      </c>
      <c r="D33" s="27">
        <f>C33/C43*D43</f>
        <v>30013.625244498784</v>
      </c>
      <c r="E33" s="27">
        <f t="shared" si="0"/>
        <v>4.7677261613691932</v>
      </c>
      <c r="F33" s="27">
        <f>C33/C43*F43</f>
        <v>27814.689865525677</v>
      </c>
      <c r="G33" s="26">
        <f xml:space="preserve"> 0.57*G11*12</f>
        <v>21932.46</v>
      </c>
    </row>
    <row r="34" spans="1:7">
      <c r="A34" s="30"/>
      <c r="B34" s="29" t="s">
        <v>14</v>
      </c>
      <c r="C34" s="28">
        <v>0.5</v>
      </c>
      <c r="D34" s="27">
        <f>C34/C43*D43</f>
        <v>19239.503361858195</v>
      </c>
      <c r="E34" s="27">
        <f t="shared" si="0"/>
        <v>3.0562347188264058</v>
      </c>
      <c r="F34" s="27">
        <f>C34/C43*F43</f>
        <v>17829.929400977999</v>
      </c>
      <c r="G34" s="26">
        <f xml:space="preserve"> 0.28*G11*12</f>
        <v>10773.84</v>
      </c>
    </row>
    <row r="35" spans="1:7">
      <c r="A35" s="30"/>
      <c r="B35" s="29" t="s">
        <v>13</v>
      </c>
      <c r="C35" s="28">
        <v>0.35</v>
      </c>
      <c r="D35" s="27">
        <f>C35/C43*D43</f>
        <v>13467.652353300733</v>
      </c>
      <c r="E35" s="27">
        <f t="shared" si="0"/>
        <v>2.1393643031784837</v>
      </c>
      <c r="F35" s="27">
        <f>C35/C43*F43</f>
        <v>12480.950580684595</v>
      </c>
      <c r="G35" s="26">
        <f xml:space="preserve"> 0.19*G11*12</f>
        <v>7310.82</v>
      </c>
    </row>
    <row r="36" spans="1:7">
      <c r="A36" s="30"/>
      <c r="B36" s="29" t="s">
        <v>12</v>
      </c>
      <c r="C36" s="28">
        <v>0.39</v>
      </c>
      <c r="D36" s="27">
        <f>C36/C43*D43</f>
        <v>15006.812622249392</v>
      </c>
      <c r="E36" s="27">
        <f t="shared" si="0"/>
        <v>2.3838630806845966</v>
      </c>
      <c r="F36" s="27">
        <f>C36/C43*F43</f>
        <v>13907.344932762839</v>
      </c>
      <c r="G36" s="26">
        <f xml:space="preserve"> 0.28*G11*12</f>
        <v>10773.84</v>
      </c>
    </row>
    <row r="37" spans="1:7">
      <c r="A37" s="30"/>
      <c r="B37" s="29" t="s">
        <v>11</v>
      </c>
      <c r="C37" s="28">
        <v>0.44</v>
      </c>
      <c r="D37" s="27">
        <f>C37/C43*D43</f>
        <v>16930.762958435211</v>
      </c>
      <c r="E37" s="27">
        <f t="shared" si="0"/>
        <v>2.6894865525672369</v>
      </c>
      <c r="F37" s="27">
        <f>C37/C43*F43</f>
        <v>15690.337872860639</v>
      </c>
      <c r="G37" s="26">
        <f xml:space="preserve"> 0.86*G11*12</f>
        <v>33091.08</v>
      </c>
    </row>
    <row r="38" spans="1:7" ht="19.5">
      <c r="A38" s="23" t="s">
        <v>10</v>
      </c>
      <c r="B38" s="22" t="s">
        <v>9</v>
      </c>
      <c r="C38" s="10">
        <v>0.8</v>
      </c>
      <c r="D38" s="25">
        <f>C38/C43*D43</f>
        <v>30783.205378973111</v>
      </c>
      <c r="E38" s="25">
        <f t="shared" si="0"/>
        <v>4.8899755501222488</v>
      </c>
      <c r="F38" s="25">
        <f>C38/C43*F43</f>
        <v>28527.887041564794</v>
      </c>
      <c r="G38" s="19">
        <f xml:space="preserve"> 0.81*G11*12</f>
        <v>31167.180000000004</v>
      </c>
    </row>
    <row r="39" spans="1:7" ht="19.5">
      <c r="A39" s="23"/>
      <c r="B39" s="22" t="s">
        <v>8</v>
      </c>
      <c r="C39" s="10">
        <f>C17+C24+C27+C30+C31+C38</f>
        <v>16.36</v>
      </c>
      <c r="D39" s="21">
        <f>(D17+D24+D27+D30+D31+D38)</f>
        <v>629516.55000000016</v>
      </c>
      <c r="E39" s="24">
        <f t="shared" si="0"/>
        <v>100</v>
      </c>
      <c r="F39" s="20">
        <f>F17+F24+F27+F30+F31+F38</f>
        <v>583395.29</v>
      </c>
      <c r="G39" s="19">
        <f>G17+G24+G27+G30+G31+G38</f>
        <v>720597.9800000001</v>
      </c>
    </row>
    <row r="40" spans="1:7" ht="19.5">
      <c r="A40" s="18"/>
      <c r="B40" s="17"/>
      <c r="C40" s="16"/>
      <c r="D40" s="15"/>
      <c r="E40" s="15">
        <f t="shared" si="0"/>
        <v>0</v>
      </c>
      <c r="F40" s="15"/>
      <c r="G40" s="15"/>
    </row>
    <row r="41" spans="1:7" ht="19.5">
      <c r="A41" s="23"/>
      <c r="B41" s="22"/>
      <c r="C41" s="10"/>
      <c r="D41" s="21"/>
      <c r="E41" s="21">
        <f>E39*18/100</f>
        <v>18</v>
      </c>
      <c r="F41" s="20"/>
      <c r="G41" s="19"/>
    </row>
    <row r="42" spans="1:7" ht="19.5">
      <c r="A42" s="18"/>
      <c r="B42" s="17"/>
      <c r="C42" s="16"/>
      <c r="D42" s="15"/>
      <c r="E42" s="15"/>
      <c r="F42" s="14"/>
      <c r="G42" s="13"/>
    </row>
    <row r="43" spans="1:7" ht="20.25" thickBot="1">
      <c r="A43" s="12"/>
      <c r="B43" s="11" t="s">
        <v>7</v>
      </c>
      <c r="C43" s="10">
        <f>C39+C40</f>
        <v>16.36</v>
      </c>
      <c r="D43" s="9">
        <v>629516.55000000005</v>
      </c>
      <c r="E43" s="9">
        <f>E39+E41</f>
        <v>118</v>
      </c>
      <c r="F43" s="8">
        <v>583395.29</v>
      </c>
      <c r="G43" s="7">
        <f>G39+G40</f>
        <v>720597.9800000001</v>
      </c>
    </row>
    <row r="44" spans="1:7">
      <c r="D44" s="2" t="s">
        <v>6</v>
      </c>
      <c r="F44" s="6">
        <f>F43/D43</f>
        <v>0.92673542895734828</v>
      </c>
    </row>
    <row r="45" spans="1:7" ht="18.75" customHeight="1">
      <c r="C45" s="4" t="s">
        <v>56</v>
      </c>
      <c r="D45" s="3"/>
      <c r="E45" s="3"/>
      <c r="F45" s="3"/>
      <c r="G45" s="3">
        <f>F43-G43</f>
        <v>-137202.69000000006</v>
      </c>
    </row>
    <row r="46" spans="1:7" ht="18.75">
      <c r="A46" s="5"/>
      <c r="B46" s="4" t="s">
        <v>4</v>
      </c>
      <c r="C46" s="3">
        <v>402894.1</v>
      </c>
      <c r="D46" s="3" t="s">
        <v>1</v>
      </c>
    </row>
    <row r="47" spans="1:7" ht="18.75">
      <c r="A47" s="5"/>
      <c r="B47" s="4" t="s">
        <v>3</v>
      </c>
      <c r="C47" s="3">
        <f>D43-F43</f>
        <v>46121.260000000009</v>
      </c>
      <c r="D47" s="3" t="s">
        <v>1</v>
      </c>
    </row>
    <row r="48" spans="1:7" ht="18.75">
      <c r="A48" s="5"/>
      <c r="B48" s="4" t="s">
        <v>2</v>
      </c>
      <c r="C48" s="3">
        <f>C46+C47</f>
        <v>449015.36</v>
      </c>
      <c r="D48" s="3" t="s">
        <v>1</v>
      </c>
    </row>
    <row r="49" spans="1:4" s="1" customFormat="1" ht="18.75">
      <c r="A49" s="5"/>
      <c r="B49" s="4"/>
      <c r="C49" s="3"/>
      <c r="D49" s="3"/>
    </row>
    <row r="53" spans="1:4" s="1" customFormat="1">
      <c r="B53" s="1" t="s">
        <v>0</v>
      </c>
      <c r="C53" s="2"/>
      <c r="D53" s="2"/>
    </row>
  </sheetData>
  <mergeCells count="7">
    <mergeCell ref="A7:G7"/>
    <mergeCell ref="A8:G8"/>
    <mergeCell ref="C12:F12"/>
    <mergeCell ref="A9:G9"/>
    <mergeCell ref="A12:A13"/>
    <mergeCell ref="B12:B13"/>
    <mergeCell ref="G12:G13"/>
  </mergeCells>
  <printOptions horizontalCentered="1"/>
  <pageMargins left="0.55118110236220474" right="0.43307086614173229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Анг20 1</vt:lpstr>
      <vt:lpstr>Цимл 1</vt:lpstr>
      <vt:lpstr>Цимл 3</vt:lpstr>
      <vt:lpstr>40л 39 1)</vt:lpstr>
      <vt:lpstr>40л 35</vt:lpstr>
      <vt:lpstr>40л 35 2</vt:lpstr>
      <vt:lpstr>40л 37</vt:lpstr>
      <vt:lpstr>40л 39</vt:lpstr>
      <vt:lpstr>40л 41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2014-05-30T04:57:26Z</dcterms:modified>
</cp:coreProperties>
</file>